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\"/>
    </mc:Choice>
  </mc:AlternateContent>
  <xr:revisionPtr revIDLastSave="0" documentId="13_ncr:1_{07CEF7A6-887D-4866-93A4-BF62C27F4152}" xr6:coauthVersionLast="45" xr6:coauthVersionMax="45" xr10:uidLastSave="{00000000-0000-0000-0000-000000000000}"/>
  <bookViews>
    <workbookView xWindow="-900" yWindow="1635" windowWidth="18900" windowHeight="11055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J19" i="1"/>
  <c r="J17" i="1"/>
  <c r="W37" i="1" l="1"/>
  <c r="W277" i="1" l="1"/>
  <c r="W35" i="2" l="1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J39" i="2" s="1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J36" i="2" l="1"/>
  <c r="J45" i="2"/>
  <c r="J53" i="2"/>
  <c r="J61" i="2"/>
  <c r="G61" i="2" s="1"/>
  <c r="J69" i="2"/>
  <c r="J77" i="2"/>
  <c r="J85" i="2"/>
  <c r="J93" i="2"/>
  <c r="J101" i="2"/>
  <c r="J109" i="2"/>
  <c r="J117" i="2"/>
  <c r="J42" i="2"/>
  <c r="J50" i="2"/>
  <c r="J58" i="2"/>
  <c r="J66" i="2"/>
  <c r="J74" i="2"/>
  <c r="J82" i="2"/>
  <c r="J90" i="2"/>
  <c r="J98" i="2"/>
  <c r="J106" i="2"/>
  <c r="J114" i="2"/>
  <c r="J51" i="2"/>
  <c r="J75" i="2"/>
  <c r="J91" i="2"/>
  <c r="G91" i="2" s="1"/>
  <c r="J107" i="2"/>
  <c r="J40" i="2"/>
  <c r="J56" i="2"/>
  <c r="J72" i="2"/>
  <c r="J96" i="2"/>
  <c r="J38" i="2"/>
  <c r="J47" i="2"/>
  <c r="J55" i="2"/>
  <c r="J63" i="2"/>
  <c r="J71" i="2"/>
  <c r="J79" i="2"/>
  <c r="J87" i="2"/>
  <c r="J95" i="2"/>
  <c r="J103" i="2"/>
  <c r="J111" i="2"/>
  <c r="J35" i="2"/>
  <c r="J44" i="2"/>
  <c r="J52" i="2"/>
  <c r="J60" i="2"/>
  <c r="J68" i="2"/>
  <c r="J76" i="2"/>
  <c r="J84" i="2"/>
  <c r="J92" i="2"/>
  <c r="J100" i="2"/>
  <c r="J108" i="2"/>
  <c r="J116" i="2"/>
  <c r="J80" i="2"/>
  <c r="J112" i="2"/>
  <c r="J41" i="2"/>
  <c r="J49" i="2"/>
  <c r="J57" i="2"/>
  <c r="J65" i="2"/>
  <c r="J73" i="2"/>
  <c r="J81" i="2"/>
  <c r="J89" i="2"/>
  <c r="J97" i="2"/>
  <c r="J105" i="2"/>
  <c r="J113" i="2"/>
  <c r="J37" i="2"/>
  <c r="J46" i="2"/>
  <c r="J54" i="2"/>
  <c r="J62" i="2"/>
  <c r="J70" i="2"/>
  <c r="J78" i="2"/>
  <c r="J86" i="2"/>
  <c r="J94" i="2"/>
  <c r="J102" i="2"/>
  <c r="J110" i="2"/>
  <c r="G110" i="2" s="1"/>
  <c r="J118" i="2"/>
  <c r="J43" i="2"/>
  <c r="J59" i="2"/>
  <c r="J67" i="2"/>
  <c r="J83" i="2"/>
  <c r="J99" i="2"/>
  <c r="J115" i="2"/>
  <c r="J48" i="2"/>
  <c r="J64" i="2"/>
  <c r="J88" i="2"/>
  <c r="J104" i="2"/>
  <c r="K157" i="2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G41" i="2" s="1"/>
  <c r="K45" i="2"/>
  <c r="K49" i="2"/>
  <c r="K53" i="2"/>
  <c r="K57" i="2"/>
  <c r="G57" i="2" s="1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G78" i="2"/>
  <c r="J122" i="2"/>
  <c r="J126" i="2"/>
  <c r="G126" i="2" s="1"/>
  <c r="J130" i="2"/>
  <c r="J134" i="2"/>
  <c r="J138" i="2"/>
  <c r="J142" i="2"/>
  <c r="J146" i="2"/>
  <c r="J150" i="2"/>
  <c r="J154" i="2"/>
  <c r="K44" i="2"/>
  <c r="K52" i="2"/>
  <c r="K60" i="2"/>
  <c r="K68" i="2"/>
  <c r="K76" i="2"/>
  <c r="K84" i="2"/>
  <c r="K43" i="2"/>
  <c r="G43" i="2" s="1"/>
  <c r="K51" i="2"/>
  <c r="K59" i="2"/>
  <c r="K67" i="2"/>
  <c r="K75" i="2"/>
  <c r="G75" i="2" s="1"/>
  <c r="K83" i="2"/>
  <c r="K91" i="2"/>
  <c r="K99" i="2"/>
  <c r="K107" i="2"/>
  <c r="G107" i="2" s="1"/>
  <c r="K115" i="2"/>
  <c r="K123" i="2"/>
  <c r="K131" i="2"/>
  <c r="K139" i="2"/>
  <c r="K147" i="2"/>
  <c r="K37" i="2"/>
  <c r="K50" i="2"/>
  <c r="K66" i="2"/>
  <c r="K82" i="2"/>
  <c r="K98" i="2"/>
  <c r="K114" i="2"/>
  <c r="K130" i="2"/>
  <c r="K146" i="2"/>
  <c r="J120" i="2"/>
  <c r="J128" i="2"/>
  <c r="J136" i="2"/>
  <c r="J144" i="2"/>
  <c r="J152" i="2"/>
  <c r="K40" i="2"/>
  <c r="G40" i="2" s="1"/>
  <c r="K56" i="2"/>
  <c r="K72" i="2"/>
  <c r="K88" i="2"/>
  <c r="K96" i="2"/>
  <c r="K104" i="2"/>
  <c r="K112" i="2"/>
  <c r="K120" i="2"/>
  <c r="K128" i="2"/>
  <c r="K136" i="2"/>
  <c r="K144" i="2"/>
  <c r="K152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K42" i="2"/>
  <c r="K58" i="2"/>
  <c r="K74" i="2"/>
  <c r="K90" i="2"/>
  <c r="K106" i="2"/>
  <c r="K122" i="2"/>
  <c r="K138" i="2"/>
  <c r="K154" i="2"/>
  <c r="G51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G45" i="2"/>
  <c r="J121" i="2"/>
  <c r="J125" i="2"/>
  <c r="J129" i="2"/>
  <c r="J133" i="2"/>
  <c r="J137" i="2"/>
  <c r="J141" i="2"/>
  <c r="J145" i="2"/>
  <c r="J149" i="2"/>
  <c r="J153" i="2"/>
  <c r="K36" i="2"/>
  <c r="D40" i="2"/>
  <c r="C40" i="2"/>
  <c r="E39" i="2"/>
  <c r="F39" i="2" s="1"/>
  <c r="O36" i="1"/>
  <c r="J20" i="1"/>
  <c r="U36" i="1" s="1"/>
  <c r="V36" i="1"/>
  <c r="O27" i="1" l="1"/>
  <c r="O25" i="2" s="1"/>
  <c r="U34" i="2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C92" i="1"/>
  <c r="E91" i="1"/>
  <c r="F91" i="1" s="1"/>
  <c r="D92" i="1"/>
  <c r="U48" i="1" l="1"/>
  <c r="U46" i="2" s="1"/>
  <c r="L46" i="2" s="1"/>
  <c r="G46" i="2" s="1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W50" i="2" l="1"/>
  <c r="W49" i="2"/>
  <c r="W47" i="2"/>
  <c r="W55" i="2"/>
  <c r="W51" i="2"/>
  <c r="W56" i="2"/>
  <c r="W52" i="2"/>
  <c r="W54" i="2"/>
  <c r="W46" i="2"/>
  <c r="W48" i="2"/>
  <c r="W53" i="2"/>
  <c r="W57" i="2"/>
  <c r="D97" i="2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E103" i="1"/>
  <c r="F103" i="1" s="1"/>
  <c r="D104" i="1"/>
  <c r="C104" i="1"/>
  <c r="U60" i="1" l="1"/>
  <c r="U58" i="2" s="1"/>
  <c r="L58" i="2" s="1"/>
  <c r="G58" i="2" s="1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W61" i="2" l="1"/>
  <c r="W67" i="2"/>
  <c r="W64" i="2"/>
  <c r="W63" i="2"/>
  <c r="W60" i="2"/>
  <c r="W66" i="2"/>
  <c r="W62" i="2"/>
  <c r="W65" i="2"/>
  <c r="W68" i="2"/>
  <c r="W59" i="2"/>
  <c r="W58" i="2"/>
  <c r="W69" i="2"/>
  <c r="D109" i="2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D116" i="1"/>
  <c r="E115" i="1"/>
  <c r="F115" i="1" s="1"/>
  <c r="C116" i="1"/>
  <c r="U72" i="1" l="1"/>
  <c r="U70" i="2" s="1"/>
  <c r="L70" i="2" s="1"/>
  <c r="G70" i="2" s="1"/>
  <c r="C120" i="2"/>
  <c r="D120" i="2"/>
  <c r="E119" i="2"/>
  <c r="F119" i="2" s="1"/>
  <c r="K73" i="1"/>
  <c r="G73" i="1" s="1"/>
  <c r="I73" i="1"/>
  <c r="E116" i="1"/>
  <c r="F116" i="1" s="1"/>
  <c r="D117" i="1"/>
  <c r="C117" i="1"/>
  <c r="L72" i="1" l="1"/>
  <c r="G72" i="1" s="1"/>
  <c r="W73" i="2"/>
  <c r="W72" i="2"/>
  <c r="W79" i="2"/>
  <c r="W74" i="2"/>
  <c r="W80" i="2"/>
  <c r="W70" i="2"/>
  <c r="W75" i="2"/>
  <c r="W78" i="2"/>
  <c r="W76" i="2"/>
  <c r="W77" i="2"/>
  <c r="W71" i="2"/>
  <c r="W81" i="2"/>
  <c r="C121" i="2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D128" i="1"/>
  <c r="E127" i="1"/>
  <c r="F127" i="1" s="1"/>
  <c r="C128" i="1"/>
  <c r="U84" i="1" l="1"/>
  <c r="U82" i="2" s="1"/>
  <c r="L82" i="2" s="1"/>
  <c r="G82" i="2" s="1"/>
  <c r="D132" i="2"/>
  <c r="C132" i="2"/>
  <c r="E131" i="2"/>
  <c r="F131" i="2" s="1"/>
  <c r="K85" i="1"/>
  <c r="G85" i="1" s="1"/>
  <c r="I85" i="1"/>
  <c r="E128" i="1"/>
  <c r="F128" i="1" s="1"/>
  <c r="D129" i="1"/>
  <c r="C129" i="1"/>
  <c r="L84" i="1" l="1"/>
  <c r="W85" i="2"/>
  <c r="W92" i="2"/>
  <c r="W83" i="2"/>
  <c r="W89" i="2"/>
  <c r="W90" i="2"/>
  <c r="W93" i="2"/>
  <c r="W86" i="2"/>
  <c r="W84" i="2"/>
  <c r="W82" i="2"/>
  <c r="W87" i="2"/>
  <c r="W91" i="2"/>
  <c r="W88" i="2"/>
  <c r="D133" i="2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l="1"/>
  <c r="U94" i="2" s="1"/>
  <c r="L94" i="2" s="1"/>
  <c r="K97" i="1"/>
  <c r="I97" i="1"/>
  <c r="L96" i="1" l="1"/>
  <c r="G96" i="1" s="1"/>
  <c r="G94" i="2"/>
  <c r="K98" i="1"/>
  <c r="G98" i="1" s="1"/>
  <c r="I98" i="1"/>
  <c r="G97" i="1"/>
  <c r="W97" i="1" l="1"/>
  <c r="W94" i="2"/>
  <c r="W102" i="2"/>
  <c r="W98" i="2"/>
  <c r="W105" i="2"/>
  <c r="W103" i="2"/>
  <c r="W97" i="2"/>
  <c r="W101" i="2"/>
  <c r="W96" i="2"/>
  <c r="W104" i="2"/>
  <c r="W99" i="2"/>
  <c r="W95" i="2"/>
  <c r="W100" i="2"/>
  <c r="W96" i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2" i="1" s="1"/>
  <c r="G101" i="1"/>
  <c r="I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l="1"/>
  <c r="U106" i="2" s="1"/>
  <c r="L106" i="2" s="1"/>
  <c r="I109" i="1"/>
  <c r="I110" i="1" s="1"/>
  <c r="K109" i="1"/>
  <c r="L108" i="1" l="1"/>
  <c r="G106" i="2"/>
  <c r="K111" i="1"/>
  <c r="G111" i="1" s="1"/>
  <c r="K110" i="1"/>
  <c r="G110" i="1" s="1"/>
  <c r="I111" i="1"/>
  <c r="G109" i="1"/>
  <c r="W113" i="2" l="1"/>
  <c r="W110" i="2"/>
  <c r="W114" i="2"/>
  <c r="W116" i="2"/>
  <c r="W111" i="2"/>
  <c r="W115" i="2"/>
  <c r="W108" i="2"/>
  <c r="W106" i="2"/>
  <c r="W112" i="2"/>
  <c r="W109" i="2"/>
  <c r="W107" i="2"/>
  <c r="W117" i="2"/>
  <c r="K112" i="1"/>
  <c r="I112" i="1"/>
  <c r="G108" i="1"/>
  <c r="W111" i="1" l="1"/>
  <c r="W108" i="1"/>
  <c r="W110" i="1"/>
  <c r="W109" i="1"/>
  <c r="K113" i="1"/>
  <c r="G113" i="1" s="1"/>
  <c r="I113" i="1"/>
  <c r="G112" i="1"/>
  <c r="W113" i="1" l="1"/>
  <c r="W112" i="1"/>
  <c r="K114" i="1"/>
  <c r="I114" i="1"/>
  <c r="K115" i="1" l="1"/>
  <c r="G115" i="1" s="1"/>
  <c r="G114" i="1"/>
  <c r="I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L118" i="2" l="1"/>
  <c r="L120" i="1"/>
  <c r="K121" i="1"/>
  <c r="G121" i="1" s="1"/>
  <c r="I121" i="1"/>
  <c r="G118" i="2" l="1"/>
  <c r="K122" i="1"/>
  <c r="G122" i="1" s="1"/>
  <c r="I122" i="1"/>
  <c r="W118" i="2" l="1"/>
  <c r="W128" i="2"/>
  <c r="W120" i="2"/>
  <c r="W127" i="2"/>
  <c r="W121" i="2"/>
  <c r="W126" i="2"/>
  <c r="W123" i="2"/>
  <c r="W122" i="2"/>
  <c r="W129" i="2"/>
  <c r="W119" i="2"/>
  <c r="W124" i="2"/>
  <c r="W125" i="2"/>
  <c r="K123" i="1"/>
  <c r="I123" i="1"/>
  <c r="G123" i="1"/>
  <c r="G120" i="1"/>
  <c r="W120" i="1" l="1"/>
  <c r="W121" i="1"/>
  <c r="W123" i="1"/>
  <c r="W122" i="1"/>
  <c r="K124" i="1"/>
  <c r="G124" i="1" s="1"/>
  <c r="I124" i="1"/>
  <c r="W124" i="1" l="1"/>
  <c r="K125" i="1"/>
  <c r="I125" i="1"/>
  <c r="G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2" i="2" l="1"/>
  <c r="W140" i="2"/>
  <c r="W134" i="2"/>
  <c r="W131" i="2"/>
  <c r="W141" i="2"/>
  <c r="W136" i="2"/>
  <c r="W130" i="2"/>
  <c r="W133" i="2"/>
  <c r="W139" i="2"/>
  <c r="W135" i="2"/>
  <c r="W137" i="2"/>
  <c r="W138" i="2"/>
  <c r="K135" i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3" i="2" l="1"/>
  <c r="W151" i="2"/>
  <c r="W150" i="2"/>
  <c r="W146" i="2"/>
  <c r="W142" i="2"/>
  <c r="W148" i="2"/>
  <c r="W149" i="2"/>
  <c r="W147" i="2"/>
  <c r="W152" i="2"/>
  <c r="W145" i="2"/>
  <c r="W144" i="2"/>
  <c r="W153" i="2"/>
  <c r="K147" i="1"/>
  <c r="I147" i="1"/>
  <c r="G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G153" i="1" s="1"/>
  <c r="I153" i="1"/>
  <c r="W153" i="1" l="1"/>
  <c r="K154" i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2" i="2" l="1"/>
  <c r="W163" i="2"/>
  <c r="W165" i="2"/>
  <c r="W157" i="2"/>
  <c r="W158" i="2"/>
  <c r="W164" i="2"/>
  <c r="W156" i="2"/>
  <c r="W161" i="2"/>
  <c r="W160" i="2"/>
  <c r="W159" i="2"/>
  <c r="W154" i="2"/>
  <c r="W155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U166" i="2" s="1"/>
  <c r="L166" i="2" s="1"/>
  <c r="G166" i="2" s="1"/>
  <c r="W177" i="2" l="1"/>
  <c r="W176" i="2"/>
  <c r="W175" i="2"/>
  <c r="W166" i="2"/>
  <c r="W174" i="2"/>
  <c r="W172" i="2"/>
  <c r="W167" i="2"/>
  <c r="W169" i="2"/>
  <c r="W170" i="2"/>
  <c r="W168" i="2"/>
  <c r="W171" i="2"/>
  <c r="W173" i="2"/>
  <c r="K169" i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7" i="2" l="1"/>
  <c r="W188" i="2"/>
  <c r="W189" i="2"/>
  <c r="W184" i="2"/>
  <c r="W179" i="2"/>
  <c r="W182" i="2"/>
  <c r="W180" i="2"/>
  <c r="W185" i="2"/>
  <c r="W183" i="2"/>
  <c r="W178" i="2"/>
  <c r="W181" i="2"/>
  <c r="W186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4" i="2"/>
  <c r="W190" i="2"/>
  <c r="W197" i="2"/>
  <c r="W191" i="2"/>
  <c r="W193" i="2"/>
  <c r="W195" i="2"/>
  <c r="W192" i="2"/>
  <c r="W196" i="2"/>
  <c r="W198" i="2"/>
  <c r="W200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2" i="2" l="1"/>
  <c r="W213" i="2"/>
  <c r="W211" i="2"/>
  <c r="W202" i="2"/>
  <c r="W203" i="2"/>
  <c r="W209" i="2"/>
  <c r="W207" i="2"/>
  <c r="W208" i="2"/>
  <c r="W210" i="2"/>
  <c r="W204" i="2"/>
  <c r="W205" i="2"/>
  <c r="W206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5" i="2"/>
  <c r="W220" i="2"/>
  <c r="W216" i="2"/>
  <c r="W219" i="2"/>
  <c r="W217" i="2"/>
  <c r="W214" i="2"/>
  <c r="W221" i="2"/>
  <c r="W222" i="2"/>
  <c r="W215" i="2"/>
  <c r="W224" i="2"/>
  <c r="W218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5" i="2"/>
  <c r="W232" i="2"/>
  <c r="W231" i="2"/>
  <c r="W234" i="2"/>
  <c r="W226" i="2"/>
  <c r="W230" i="2"/>
  <c r="W227" i="2"/>
  <c r="W229" i="2"/>
  <c r="W236" i="2"/>
  <c r="W233" i="2"/>
  <c r="W228" i="2"/>
  <c r="L228" i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8" i="2"/>
  <c r="W249" i="2"/>
  <c r="W240" i="2"/>
  <c r="W243" i="2"/>
  <c r="W245" i="2"/>
  <c r="W246" i="2"/>
  <c r="W241" i="2"/>
  <c r="W242" i="2"/>
  <c r="W239" i="2"/>
  <c r="W238" i="2"/>
  <c r="W244" i="2"/>
  <c r="L240" i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58" i="2" l="1"/>
  <c r="W261" i="2"/>
  <c r="W260" i="2"/>
  <c r="W259" i="2"/>
  <c r="W254" i="2"/>
  <c r="W252" i="2"/>
  <c r="W255" i="2"/>
  <c r="W257" i="2"/>
  <c r="W256" i="2"/>
  <c r="W250" i="2"/>
  <c r="W251" i="2"/>
  <c r="W253" i="2"/>
  <c r="L252" i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3" i="2"/>
  <c r="W271" i="2"/>
  <c r="W274" i="2"/>
  <c r="W264" i="2"/>
  <c r="W262" i="2"/>
  <c r="W272" i="2"/>
  <c r="W263" i="2"/>
  <c r="G275" i="2"/>
  <c r="W269" i="2"/>
  <c r="W268" i="2"/>
  <c r="W266" i="2"/>
  <c r="W267" i="2"/>
  <c r="W270" i="2"/>
  <c r="W275" i="2"/>
  <c r="K267" i="1"/>
  <c r="G267" i="1" s="1"/>
  <c r="I267" i="1"/>
  <c r="L277" i="1"/>
  <c r="G264" i="1"/>
  <c r="O24" i="2" l="1"/>
  <c r="W266" i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<sst xmlns="http://schemas.openxmlformats.org/spreadsheetml/2006/main" count="155" uniqueCount="76">
  <si>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</si>
  <si>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</si>
  <si>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</si>
  <si>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</si>
  <si>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</si>
  <si>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</si>
  <si>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</si>
  <si>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</si>
  <si>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</si>
  <si>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</si>
  <si>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</si>
  <si>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</si>
  <si>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</si>
  <si>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</si>
  <si>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</si>
  <si>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</si>
  <si>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</si>
  <si>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</si>
  <si>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</si>
  <si>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</si>
  <si>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</si>
  <si>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</si>
  <si>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</si>
  <si>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</si>
  <si>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</si>
  <si>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</si>
  <si>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</si>
  <si>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</si>
  <si>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</si>
  <si>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</si>
  <si>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</si>
  <si>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</si>
  <si>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</si>
  <si>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</si>
  <si>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</si>
  <si>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</si>
  <si>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</si>
  <si>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</si>
  <si>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</si>
  <si>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</si>
  <si>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</si>
  <si>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</si>
  <si>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</si>
  <si>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</si>
  <si>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</si>
  <si>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</si>
  <si>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</si>
  <si>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</si>
  <si>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</si>
  <si>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</si>
  <si>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</si>
  <si>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</si>
  <si>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</si>
  <si>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</si>
  <si>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</si>
  <si>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</si>
  <si>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</si>
  <si>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</si>
  <si>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</si>
  <si>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</si>
  <si>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</si>
  <si>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</si>
  <si>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</si>
  <si>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</si>
  <si>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транспортний засіб, первинна реєстрація якого відбулась не пізніше, ніж за 30 днів до подачі потенційним пакету документів для отримання кредиту)</t>
  </si>
  <si>
    <t xml:space="preserve"> </t>
  </si>
  <si>
    <t>Страхування ОСЦПВ</t>
  </si>
  <si>
    <t>в залежності від параметрів авто</t>
  </si>
  <si>
    <t>сума кредиту не менше 100 000 грн та не більше 90% вартості ТЗ, не більше 1 350 000 грн (в залежності від країни виробника)</t>
  </si>
  <si>
    <t>мінімальний строк кредиту - 12 місяців, максимальний - 84 місяців (в залежності від країни виробника)</t>
  </si>
  <si>
    <t>Загальна вартість авто:</t>
  </si>
  <si>
    <t>Послуги нотаріуса при оформленні договору застави</t>
  </si>
  <si>
    <t>Страхування авто, до надання кредиту</t>
  </si>
  <si>
    <t>від суми кредиту, максимально</t>
  </si>
  <si>
    <t xml:space="preserve">Загальна вартість по кредиту, грн. </t>
  </si>
  <si>
    <t>0,1% від вартості майна + 6 000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</si>
</sst>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36" xfId="0" applyNumberFormat="1" applyFont="1" applyBorder="1" applyAlignment="1" applyProtection="1">
      <alignment horizontal="right"/>
      <protection hidden="1"/>
    </xf>
    <xf numFmtId="10" fontId="0" fillId="34" borderId="36" xfId="0" applyNumberFormat="1" applyFont="1" applyFill="1" applyBorder="1" applyAlignment="1" applyProtection="1">
      <alignment horizontal="right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10" fontId="32" fillId="0" borderId="36" xfId="0" applyNumberFormat="1" applyFont="1" applyFill="1" applyBorder="1" applyAlignment="1" applyProtection="1">
      <alignment vertical="center" wrapText="1"/>
      <protection hidden="1"/>
    </xf>
    <xf numFmtId="0" fontId="0" fillId="0" borderId="36" xfId="0" applyFont="1" applyBorder="1" applyAlignment="1" applyProtection="1">
      <protection hidden="1"/>
    </xf>
    <xf numFmtId="0" fontId="0" fillId="0" borderId="56" xfId="0" applyFont="1" applyBorder="1" applyAlignment="1" applyProtection="1">
      <protection hidden="1"/>
    </xf>
    <xf numFmtId="10" fontId="0" fillId="0" borderId="36" xfId="0" applyNumberFormat="1" applyFont="1" applyBorder="1" applyAlignment="1" applyProtection="1">
      <alignment horizontal="left"/>
      <protection hidden="1"/>
    </xf>
    <xf numFmtId="10" fontId="0" fillId="0" borderId="56" xfId="0" applyNumberFormat="1" applyFont="1" applyBorder="1" applyAlignment="1" applyProtection="1">
      <alignment horizontal="left"/>
      <protection hidden="1"/>
    </xf>
    <xf numFmtId="0" fontId="32" fillId="0" borderId="54" xfId="0" applyNumberFormat="1" applyFont="1" applyFill="1" applyBorder="1" applyAlignment="1" applyProtection="1">
      <alignment vertical="center" wrapText="1"/>
      <protection hidden="1"/>
    </xf>
    <xf numFmtId="4" fontId="38" fillId="0" borderId="54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top" wrapText="1"/>
      <protection hidden="1"/>
    </xf>
    <xf numFmtId="0" fontId="32" fillId="0" borderId="36" xfId="0" applyNumberFormat="1" applyFont="1" applyFill="1" applyBorder="1" applyAlignment="1" applyProtection="1">
      <alignment horizontal="left" vertical="top" wrapText="1"/>
      <protection hidden="1"/>
    </xf>
    <xf numFmtId="4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1" xfId="0" applyNumberFormat="1" applyFont="1" applyFill="1" applyBorder="1" applyAlignment="1" applyProtection="1">
      <alignment horizontal="left" vertical="top" wrapText="1"/>
      <protection hidden="1"/>
    </xf>
    <xf numFmtId="0" fontId="32" fillId="0" borderId="54" xfId="0" applyNumberFormat="1" applyFont="1" applyFill="1" applyBorder="1" applyAlignment="1" applyProtection="1">
      <alignment horizontal="left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0" fontId="38" fillId="0" borderId="36" xfId="0" applyNumberFormat="1" applyFont="1" applyFill="1" applyBorder="1" applyAlignment="1" applyProtection="1">
      <alignment horizontal="center" vertical="top" wrapText="1"/>
      <protection hidden="1"/>
    </xf>
    <xf numFmtId="4" fontId="38" fillId="34" borderId="36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top" wrapText="1"/>
      <protection hidden="1"/>
    </xf>
    <xf numFmtId="164" fontId="38" fillId="0" borderId="57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57" xfId="0" applyNumberFormat="1" applyFont="1" applyFill="1" applyBorder="1" applyAlignment="1" applyProtection="1">
      <alignment vertical="center" wrapText="1"/>
      <protection hidden="1"/>
    </xf>
    <xf numFmtId="10" fontId="34" fillId="0" borderId="57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32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7" xfId="0" applyNumberFormat="1" applyFont="1" applyFill="1" applyBorder="1" applyAlignment="1" applyProtection="1">
      <alignment vertical="center" wrapText="1"/>
      <protection hidden="1"/>
    </xf>
    <xf numFmtId="0" fontId="18" fillId="0" borderId="48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top" wrapText="1"/>
      <protection hidden="1"/>
    </xf>
    <xf numFmtId="0" fontId="18" fillId="0" borderId="45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4" fontId="19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0" applyNumberFormat="1" applyFont="1" applyFill="1" applyBorder="1" applyAlignment="1" applyProtection="1">
      <alignment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34" xfId="0" applyNumberFormat="1" applyFont="1" applyFill="1" applyBorder="1" applyAlignment="1" applyProtection="1">
      <alignment vertical="center" wrapText="1"/>
      <protection hidden="1"/>
    </xf>
    <xf numFmtId="4" fontId="19" fillId="34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49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43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left"/>
      <protection hidden="1"/>
    </xf>
    <xf numFmtId="0" fontId="18" fillId="0" borderId="39" xfId="0" applyNumberFormat="1" applyFont="1" applyFill="1" applyBorder="1" applyAlignment="1" applyProtection="1">
      <alignment horizontal="left" vertical="top" wrapText="1"/>
      <protection hidden="1"/>
    </xf>
    <xf numFmtId="0" fontId="18" fillId="0" borderId="40" xfId="0" applyNumberFormat="1" applyFont="1" applyFill="1" applyBorder="1" applyAlignment="1" applyProtection="1">
      <alignment horizontal="left" vertical="top" wrapText="1"/>
      <protection hidden="1"/>
    </xf>
    <xf numFmtId="0" fontId="18" fillId="0" borderId="41" xfId="0" applyNumberFormat="1" applyFont="1" applyFill="1" applyBorder="1" applyAlignment="1" applyProtection="1">
      <alignment horizontal="left" vertical="top" wrapText="1"/>
      <protection hidden="1"/>
    </xf>
    <xf numFmtId="9" fontId="19" fillId="0" borderId="37" xfId="50" applyFont="1" applyFill="1" applyBorder="1" applyAlignment="1" applyProtection="1">
      <alignment horizontal="center" vertical="top" wrapText="1"/>
      <protection hidden="1"/>
    </xf>
    <xf numFmtId="9" fontId="19" fillId="0" borderId="38" xfId="50" applyFont="1" applyFill="1" applyBorder="1" applyAlignment="1" applyProtection="1">
      <alignment horizontal="center" vertical="top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vertical="center" wrapText="1"/>
      <protection hidden="1"/>
    </xf>
    <xf numFmtId="1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122465</xdr:colOff>
      <xdr:row>3</xdr:row>
      <xdr:rowOff>108856</xdr:rowOff>
    </xdr:from>
    <xdr:to>
      <xdr:col>20</xdr:col>
      <xdr:colOff>476250</xdr:colOff>
      <xdr:row>6</xdr:row>
      <xdr:rowOff>435427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3182537-5FB7-4E56-826C-7DC39906D2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625927"/>
          <a:ext cx="2816678" cy="8164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topLeftCell="H64" zoomScale="85" zoomScaleNormal="85" zoomScaleSheetLayoutView="85" workbookViewId="0">
      <selection activeCell="O29" sqref="O2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10.7109375" style="1" customWidth="1"/>
    <col min="9" max="9" width="28.85546875" style="1" customWidth="1"/>
    <col min="10" max="10" width="12.8554687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3.7109375" style="9" customWidth="1"/>
    <col min="20" max="20" width="12.42578125" style="9" customWidth="1"/>
    <col min="21" max="21" width="14.1406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43" t="s">
        <v>64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4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4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4" ht="12.75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2:24" ht="37.5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60"/>
      <c r="R7" s="60"/>
      <c r="S7" s="60"/>
      <c r="T7" s="60"/>
      <c r="U7" s="60"/>
      <c r="V7" s="60"/>
      <c r="W7" s="60"/>
      <c r="X7" s="60"/>
    </row>
    <row r="8" spans="2:24" ht="15" hidden="1" x14ac:dyDescent="0.25">
      <c r="B8" s="2"/>
      <c r="C8" s="107" t="s">
        <v>0</v>
      </c>
      <c r="D8" s="107"/>
      <c r="E8" s="107"/>
      <c r="F8" s="108">
        <v>44197</v>
      </c>
      <c r="G8" s="108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15" hidden="1" x14ac:dyDescent="0.25">
      <c r="B9" s="2"/>
      <c r="C9" s="107" t="s">
        <v>27</v>
      </c>
      <c r="D9" s="107"/>
      <c r="E9" s="107"/>
      <c r="F9" s="108">
        <v>51502</v>
      </c>
      <c r="G9" s="108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4"/>
      <c r="T9" s="4"/>
      <c r="U9" s="4"/>
      <c r="V9" s="4"/>
      <c r="W9" s="2"/>
      <c r="X9" s="2"/>
    </row>
    <row r="10" spans="2:24" ht="21" x14ac:dyDescent="0.25">
      <c r="B10" s="120" t="s">
        <v>40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2"/>
      <c r="R10" s="2"/>
      <c r="S10" s="4"/>
      <c r="T10" s="4"/>
      <c r="U10" s="4"/>
      <c r="V10" s="4"/>
      <c r="W10" s="2"/>
      <c r="X10" s="2"/>
    </row>
    <row r="11" spans="2:24" ht="12.75" customHeight="1" thickBot="1" x14ac:dyDescent="0.25">
      <c r="P11" s="5"/>
      <c r="Q11" s="5"/>
      <c r="R11" s="6"/>
      <c r="S11" s="6"/>
      <c r="T11" s="7"/>
      <c r="U11" s="7"/>
      <c r="V11" s="7"/>
    </row>
    <row r="12" spans="2:24" s="2" customFormat="1" ht="15" customHeight="1" x14ac:dyDescent="0.25">
      <c r="G12" s="92" t="s">
        <v>1</v>
      </c>
      <c r="H12" s="93"/>
      <c r="I12" s="93"/>
      <c r="J12" s="88">
        <v>1350000</v>
      </c>
      <c r="K12" s="88"/>
      <c r="L12" s="87" t="s">
        <v>10</v>
      </c>
      <c r="M12" s="87"/>
      <c r="N12" s="121" t="s">
        <v>68</v>
      </c>
      <c r="O12" s="121"/>
      <c r="P12" s="121"/>
      <c r="Q12" s="121"/>
      <c r="R12" s="121"/>
      <c r="S12" s="121"/>
      <c r="T12" s="121"/>
      <c r="U12" s="121"/>
      <c r="V12" s="122"/>
    </row>
    <row r="13" spans="2:24" s="2" customFormat="1" ht="15" customHeight="1" x14ac:dyDescent="0.25">
      <c r="G13" s="89" t="s">
        <v>2</v>
      </c>
      <c r="H13" s="90"/>
      <c r="I13" s="90"/>
      <c r="J13" s="97">
        <v>84</v>
      </c>
      <c r="K13" s="97"/>
      <c r="L13" s="96" t="s">
        <v>3</v>
      </c>
      <c r="M13" s="96"/>
      <c r="N13" s="95" t="s">
        <v>69</v>
      </c>
      <c r="O13" s="95"/>
      <c r="P13" s="95"/>
      <c r="Q13" s="95"/>
      <c r="R13" s="95"/>
      <c r="S13" s="95"/>
      <c r="T13" s="95"/>
      <c r="U13" s="95"/>
      <c r="V13" s="123"/>
    </row>
    <row r="14" spans="2:24" s="2" customFormat="1" ht="15" x14ac:dyDescent="0.25">
      <c r="G14" s="89" t="s">
        <v>70</v>
      </c>
      <c r="H14" s="90"/>
      <c r="I14" s="90"/>
      <c r="J14" s="98">
        <v>1500000</v>
      </c>
      <c r="K14" s="98"/>
      <c r="L14" s="96" t="s">
        <v>10</v>
      </c>
      <c r="M14" s="96"/>
      <c r="N14" s="95"/>
      <c r="O14" s="95"/>
      <c r="P14" s="95"/>
      <c r="Q14" s="95"/>
      <c r="R14" s="95"/>
      <c r="S14" s="95"/>
      <c r="T14" s="95"/>
      <c r="U14" s="95"/>
      <c r="V14" s="123"/>
    </row>
    <row r="15" spans="2:24" s="2" customFormat="1" ht="15" customHeight="1" x14ac:dyDescent="0.25">
      <c r="G15" s="89" t="s">
        <v>31</v>
      </c>
      <c r="H15" s="90"/>
      <c r="I15" s="90"/>
      <c r="J15" s="91">
        <f>J12*N15</f>
        <v>20250</v>
      </c>
      <c r="K15" s="91"/>
      <c r="L15" s="96" t="s">
        <v>10</v>
      </c>
      <c r="M15" s="96"/>
      <c r="N15" s="82">
        <v>1.4999999999999999E-2</v>
      </c>
      <c r="O15" s="117" t="s">
        <v>73</v>
      </c>
      <c r="P15" s="118"/>
      <c r="Q15" s="118"/>
      <c r="R15" s="118"/>
      <c r="S15" s="118"/>
      <c r="T15" s="118"/>
      <c r="U15" s="118"/>
      <c r="V15" s="119"/>
    </row>
    <row r="16" spans="2:24" s="2" customFormat="1" ht="15" customHeight="1" x14ac:dyDescent="0.25">
      <c r="G16" s="89" t="s">
        <v>32</v>
      </c>
      <c r="H16" s="90"/>
      <c r="I16" s="90"/>
      <c r="J16" s="91">
        <v>150</v>
      </c>
      <c r="K16" s="91"/>
      <c r="L16" s="96" t="s">
        <v>10</v>
      </c>
      <c r="M16" s="96"/>
      <c r="N16" s="95" t="s">
        <v>37</v>
      </c>
      <c r="O16" s="95"/>
      <c r="P16" s="95"/>
      <c r="Q16" s="95"/>
      <c r="R16" s="95"/>
      <c r="S16" s="95"/>
      <c r="T16" s="95"/>
      <c r="U16" s="95"/>
      <c r="V16" s="123"/>
    </row>
    <row r="17" spans="2:25" s="2" customFormat="1" ht="15" customHeight="1" x14ac:dyDescent="0.25">
      <c r="G17" s="89" t="s">
        <v>71</v>
      </c>
      <c r="H17" s="90"/>
      <c r="I17" s="90"/>
      <c r="J17" s="91">
        <f>J14*0.1%+6000</f>
        <v>7500</v>
      </c>
      <c r="K17" s="91"/>
      <c r="L17" s="96" t="s">
        <v>10</v>
      </c>
      <c r="M17" s="96"/>
      <c r="N17" s="96" t="s">
        <v>75</v>
      </c>
      <c r="O17" s="96"/>
      <c r="P17" s="96"/>
      <c r="Q17" s="96"/>
      <c r="R17" s="96"/>
      <c r="S17" s="96"/>
      <c r="T17" s="96"/>
      <c r="U17" s="96"/>
      <c r="V17" s="124"/>
    </row>
    <row r="18" spans="2:25" s="2" customFormat="1" ht="15" customHeight="1" x14ac:dyDescent="0.25">
      <c r="G18" s="94" t="s">
        <v>33</v>
      </c>
      <c r="H18" s="95"/>
      <c r="I18" s="95"/>
      <c r="J18" s="91">
        <v>150</v>
      </c>
      <c r="K18" s="91"/>
      <c r="L18" s="96" t="s">
        <v>10</v>
      </c>
      <c r="M18" s="96"/>
      <c r="N18" s="95" t="s">
        <v>35</v>
      </c>
      <c r="O18" s="95"/>
      <c r="P18" s="95"/>
      <c r="Q18" s="95"/>
      <c r="R18" s="95"/>
      <c r="S18" s="95"/>
      <c r="T18" s="95"/>
      <c r="U18" s="95"/>
      <c r="V18" s="123"/>
    </row>
    <row r="19" spans="2:25" s="2" customFormat="1" ht="15" x14ac:dyDescent="0.25">
      <c r="G19" s="89" t="s">
        <v>72</v>
      </c>
      <c r="H19" s="90"/>
      <c r="I19" s="90"/>
      <c r="J19" s="91">
        <f>J14*N19</f>
        <v>90000</v>
      </c>
      <c r="K19" s="91"/>
      <c r="L19" s="96" t="s">
        <v>10</v>
      </c>
      <c r="M19" s="96"/>
      <c r="N19" s="80">
        <v>0.06</v>
      </c>
      <c r="O19" s="83" t="s">
        <v>62</v>
      </c>
      <c r="P19" s="83"/>
      <c r="Q19" s="83"/>
      <c r="R19" s="83"/>
      <c r="S19" s="83"/>
      <c r="T19" s="83"/>
      <c r="U19" s="83"/>
      <c r="V19" s="84"/>
    </row>
    <row r="20" spans="2:25" s="2" customFormat="1" ht="15" x14ac:dyDescent="0.25">
      <c r="G20" s="89" t="s">
        <v>38</v>
      </c>
      <c r="H20" s="90"/>
      <c r="I20" s="90"/>
      <c r="J20" s="91">
        <f>J12*0.3%</f>
        <v>4050</v>
      </c>
      <c r="K20" s="91"/>
      <c r="L20" s="96" t="s">
        <v>10</v>
      </c>
      <c r="M20" s="96"/>
      <c r="N20" s="79">
        <v>3.0000000000000001E-3</v>
      </c>
      <c r="O20" s="83" t="s">
        <v>63</v>
      </c>
      <c r="P20" s="83"/>
      <c r="Q20" s="83"/>
      <c r="R20" s="83"/>
      <c r="S20" s="83"/>
      <c r="T20" s="83"/>
      <c r="U20" s="83"/>
      <c r="V20" s="84"/>
    </row>
    <row r="21" spans="2:25" s="2" customFormat="1" ht="15" x14ac:dyDescent="0.25">
      <c r="G21" s="89" t="s">
        <v>66</v>
      </c>
      <c r="H21" s="90"/>
      <c r="I21" s="90"/>
      <c r="J21" s="98">
        <v>1300</v>
      </c>
      <c r="K21" s="98"/>
      <c r="L21" s="81"/>
      <c r="M21" s="81" t="s">
        <v>10</v>
      </c>
      <c r="N21" s="85" t="s">
        <v>67</v>
      </c>
      <c r="O21" s="85"/>
      <c r="P21" s="85"/>
      <c r="Q21" s="85"/>
      <c r="R21" s="85"/>
      <c r="S21" s="85"/>
      <c r="T21" s="85"/>
      <c r="U21" s="85"/>
      <c r="V21" s="86"/>
    </row>
    <row r="22" spans="2:25" s="2" customFormat="1" ht="15.75" customHeight="1" thickBot="1" x14ac:dyDescent="0.3">
      <c r="G22" s="111" t="s">
        <v>55</v>
      </c>
      <c r="H22" s="112"/>
      <c r="I22" s="112"/>
      <c r="J22" s="113">
        <v>0.22500000000000001</v>
      </c>
      <c r="K22" s="113"/>
      <c r="L22" s="114" t="s">
        <v>4</v>
      </c>
      <c r="M22" s="114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2:25" s="2" customFormat="1" ht="15" x14ac:dyDescent="0.25">
      <c r="G23" s="109" t="s">
        <v>42</v>
      </c>
      <c r="H23" s="109"/>
      <c r="I23" s="109"/>
      <c r="J23" s="109"/>
      <c r="K23" s="77"/>
      <c r="L23" s="78"/>
      <c r="M23" s="78"/>
      <c r="N23" s="70"/>
      <c r="O23" s="70"/>
      <c r="P23" s="70"/>
      <c r="Q23" s="70"/>
      <c r="R23" s="70"/>
      <c r="S23" s="70"/>
      <c r="T23" s="76"/>
      <c r="U23" s="76"/>
      <c r="V23" s="76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69"/>
      <c r="U24" s="69"/>
      <c r="V24" s="68"/>
    </row>
    <row r="25" spans="2:25" s="2" customFormat="1" ht="15" x14ac:dyDescent="0.25">
      <c r="G25" s="110" t="s">
        <v>61</v>
      </c>
      <c r="H25" s="110"/>
      <c r="I25" s="110"/>
      <c r="J25" s="110"/>
      <c r="K25" s="110"/>
      <c r="L25" s="110"/>
      <c r="M25" s="110"/>
      <c r="N25" s="110"/>
      <c r="O25" s="70"/>
      <c r="P25" s="70"/>
      <c r="Q25" s="70"/>
      <c r="R25" s="70"/>
      <c r="S25" s="70"/>
      <c r="T25" s="71"/>
      <c r="U25" s="71"/>
      <c r="V25" s="72"/>
    </row>
    <row r="26" spans="2:25" s="2" customFormat="1" ht="15" x14ac:dyDescent="0.25">
      <c r="G26" s="110" t="s">
        <v>45</v>
      </c>
      <c r="H26" s="110"/>
      <c r="I26" s="110"/>
      <c r="J26" s="110"/>
      <c r="K26" s="110"/>
      <c r="L26" s="110"/>
      <c r="M26" s="110"/>
      <c r="N26" s="110"/>
      <c r="O26" s="73">
        <f>MAX('Умови та класичний графік'!W40:W277)</f>
        <v>0.42259707519531253</v>
      </c>
      <c r="P26" s="74"/>
      <c r="Q26" s="74"/>
      <c r="R26" s="74"/>
      <c r="S26" s="74"/>
      <c r="T26" s="72"/>
      <c r="U26" s="72"/>
      <c r="V26" s="72"/>
    </row>
    <row r="27" spans="2:25" s="2" customFormat="1" ht="15" x14ac:dyDescent="0.25">
      <c r="G27" s="110" t="s">
        <v>39</v>
      </c>
      <c r="H27" s="110"/>
      <c r="I27" s="110"/>
      <c r="J27" s="110"/>
      <c r="K27" s="110"/>
      <c r="L27" s="110"/>
      <c r="M27" s="110"/>
      <c r="N27" s="110"/>
      <c r="O27" s="75">
        <f>J15+J16+J17+J18+J19+J20</f>
        <v>122100</v>
      </c>
      <c r="P27" s="74"/>
      <c r="Q27" s="74"/>
      <c r="R27" s="74"/>
      <c r="S27" s="74"/>
      <c r="T27" s="72"/>
      <c r="U27" s="72"/>
      <c r="V27" s="72"/>
    </row>
    <row r="28" spans="2:25" s="2" customFormat="1" ht="15" customHeight="1" x14ac:dyDescent="0.25">
      <c r="G28" s="110" t="s">
        <v>44</v>
      </c>
      <c r="H28" s="110"/>
      <c r="I28" s="110"/>
      <c r="J28" s="110"/>
      <c r="K28" s="110"/>
      <c r="L28" s="110"/>
      <c r="M28" s="110"/>
      <c r="N28" s="110"/>
      <c r="O28" s="75">
        <f>'Умови та класичний графік'!X277</f>
        <v>1757938.0626223087</v>
      </c>
      <c r="P28" s="74"/>
      <c r="Q28" s="74"/>
      <c r="R28" s="74"/>
      <c r="S28" s="74"/>
      <c r="T28" s="72"/>
      <c r="U28" s="72"/>
      <c r="V28" s="72"/>
    </row>
    <row r="29" spans="2:25" s="2" customFormat="1" ht="15" customHeight="1" x14ac:dyDescent="0.25">
      <c r="G29" s="110" t="s">
        <v>74</v>
      </c>
      <c r="H29" s="110"/>
      <c r="I29" s="110"/>
      <c r="J29" s="110"/>
      <c r="K29" s="110"/>
      <c r="L29" s="110"/>
      <c r="M29" s="110"/>
      <c r="N29" s="110"/>
      <c r="O29" s="75">
        <f>'Умови та класичний графік'!Y277</f>
        <v>3107938.0626223087</v>
      </c>
      <c r="P29" s="74"/>
      <c r="Q29" s="74"/>
      <c r="R29" s="74"/>
      <c r="S29" s="74"/>
      <c r="T29" s="76"/>
      <c r="U29" s="76"/>
      <c r="V29" s="76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126" t="s">
        <v>36</v>
      </c>
      <c r="C31" s="126" t="s">
        <v>26</v>
      </c>
      <c r="D31" s="126" t="s">
        <v>6</v>
      </c>
      <c r="E31" s="126"/>
      <c r="F31" s="127" t="s">
        <v>12</v>
      </c>
      <c r="G31" s="130" t="s">
        <v>47</v>
      </c>
      <c r="H31" s="131"/>
      <c r="I31" s="101" t="s">
        <v>29</v>
      </c>
      <c r="J31" s="136" t="s">
        <v>11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01" t="s">
        <v>48</v>
      </c>
      <c r="X31" s="126" t="s">
        <v>49</v>
      </c>
      <c r="Y31" s="126" t="s">
        <v>50</v>
      </c>
    </row>
    <row r="32" spans="2:25" s="9" customFormat="1" ht="12.75" customHeight="1" x14ac:dyDescent="0.2">
      <c r="B32" s="126"/>
      <c r="C32" s="126"/>
      <c r="D32" s="126"/>
      <c r="E32" s="126"/>
      <c r="F32" s="128"/>
      <c r="G32" s="132"/>
      <c r="H32" s="133"/>
      <c r="I32" s="102"/>
      <c r="J32" s="134" t="s">
        <v>52</v>
      </c>
      <c r="K32" s="134" t="s">
        <v>51</v>
      </c>
      <c r="L32" s="101" t="s">
        <v>30</v>
      </c>
      <c r="M32" s="137" t="s">
        <v>13</v>
      </c>
      <c r="N32" s="138"/>
      <c r="O32" s="138"/>
      <c r="P32" s="138"/>
      <c r="Q32" s="138"/>
      <c r="R32" s="138"/>
      <c r="S32" s="138"/>
      <c r="T32" s="138"/>
      <c r="U32" s="138"/>
      <c r="V32" s="139"/>
      <c r="W32" s="102"/>
      <c r="X32" s="126"/>
      <c r="Y32" s="126"/>
    </row>
    <row r="33" spans="2:25" s="9" customFormat="1" ht="15" customHeight="1" x14ac:dyDescent="0.2">
      <c r="B33" s="126"/>
      <c r="C33" s="126"/>
      <c r="D33" s="126"/>
      <c r="E33" s="126"/>
      <c r="F33" s="128"/>
      <c r="G33" s="132"/>
      <c r="H33" s="133"/>
      <c r="I33" s="102"/>
      <c r="J33" s="135"/>
      <c r="K33" s="135"/>
      <c r="L33" s="102"/>
      <c r="M33" s="137" t="s">
        <v>14</v>
      </c>
      <c r="N33" s="138"/>
      <c r="O33" s="138"/>
      <c r="P33" s="139"/>
      <c r="Q33" s="140" t="s">
        <v>17</v>
      </c>
      <c r="R33" s="141"/>
      <c r="S33" s="140" t="s">
        <v>20</v>
      </c>
      <c r="T33" s="142"/>
      <c r="U33" s="142"/>
      <c r="V33" s="141"/>
      <c r="W33" s="102"/>
      <c r="X33" s="126"/>
      <c r="Y33" s="126"/>
    </row>
    <row r="34" spans="2:25" s="9" customFormat="1" ht="55.5" customHeight="1" x14ac:dyDescent="0.2">
      <c r="B34" s="126"/>
      <c r="C34" s="126"/>
      <c r="D34" s="16" t="s">
        <v>7</v>
      </c>
      <c r="E34" s="16" t="s">
        <v>8</v>
      </c>
      <c r="F34" s="129"/>
      <c r="G34" s="132"/>
      <c r="H34" s="133"/>
      <c r="I34" s="103"/>
      <c r="J34" s="135"/>
      <c r="K34" s="135"/>
      <c r="L34" s="103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03"/>
      <c r="X34" s="126"/>
      <c r="Y34" s="126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125">
        <v>6</v>
      </c>
      <c r="H35" s="125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F8</f>
        <v>44197</v>
      </c>
      <c r="D36" s="27" t="s">
        <v>24</v>
      </c>
      <c r="E36" s="27" t="s">
        <v>24</v>
      </c>
      <c r="F36" s="28" t="s">
        <v>24</v>
      </c>
      <c r="G36" s="105">
        <f>-('Умови та класичний графік'!J12-L36)</f>
        <v>-1227600</v>
      </c>
      <c r="H36" s="106"/>
      <c r="I36" s="29" t="s">
        <v>24</v>
      </c>
      <c r="J36" s="28" t="s">
        <v>24</v>
      </c>
      <c r="K36" s="28" t="s">
        <v>24</v>
      </c>
      <c r="L36" s="30">
        <f>SUM(M36:V36)</f>
        <v>122400</v>
      </c>
      <c r="M36" s="31">
        <v>0</v>
      </c>
      <c r="N36" s="31">
        <v>150</v>
      </c>
      <c r="O36" s="32">
        <f>J15</f>
        <v>20250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графік'!J14*0.1%+5000)</f>
        <v>6500</v>
      </c>
      <c r="T36" s="33">
        <f>SUM(T37:T276)</f>
        <v>0</v>
      </c>
      <c r="U36" s="33">
        <f>J19+J20+J21</f>
        <v>95350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04">
        <f>J37+K37+L37</f>
        <v>41869.373776908025</v>
      </c>
      <c r="H37" s="104"/>
      <c r="I37" s="32">
        <f>'Умови та класичний графік'!J12-J37</f>
        <v>1333928.5714285714</v>
      </c>
      <c r="J37" s="32">
        <f>'Умови та класичний графік'!J12/'Умови та класичний графік'!J13</f>
        <v>16071.428571428571</v>
      </c>
      <c r="K37" s="32">
        <f>(('Умови та класичний графік'!J12*'Умови та класичний графік'!$J$22)/365)*F37</f>
        <v>25797.945205479453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графік'!$J$13,XIRR($G$36:G37,$C$36:C37,0),"")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04">
        <f>J38+K38+L38</f>
        <v>39095.401174168299</v>
      </c>
      <c r="H38" s="104"/>
      <c r="I38" s="32">
        <f>I37-J38</f>
        <v>1317857.1428571427</v>
      </c>
      <c r="J38" s="32">
        <f>J37</f>
        <v>16071.428571428571</v>
      </c>
      <c r="K38" s="32">
        <f>((I37*'Умови та класичний графік'!$J$22)/365)*F38</f>
        <v>23023.972602739726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графік'!$J$13,XIRR($G$36:G38,$C$36:C38,0),"")</f>
        <v>-0.9999999980234866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графік'!$J$13,EDATE(C38,1),"")</f>
        <v>44287</v>
      </c>
      <c r="D39" s="36">
        <f>IF(B38&lt;'Умови та класичний графік'!$J$13,C38,"")</f>
        <v>44256</v>
      </c>
      <c r="E39" s="26">
        <f>IF(B38&lt;'Умови та класичний графік'!$J$13,C39-1,"")</f>
        <v>44286</v>
      </c>
      <c r="F39" s="37">
        <f>IF(B38&lt;'Умови та класичний графік'!$J$13,E39-D39+1,"")</f>
        <v>31</v>
      </c>
      <c r="G39" s="99">
        <f>IF(B38&lt;'Умови та класичний графік'!$J$13,J39+K39+L39,"")</f>
        <v>41255.136986301368</v>
      </c>
      <c r="H39" s="100"/>
      <c r="I39" s="32">
        <f>IF(B38&lt;'Умови та класичний графік'!$J$13,I38-J39,"")</f>
        <v>1301785.7142857141</v>
      </c>
      <c r="J39" s="32">
        <f>IF(B38&lt;'Умови та класичний графік'!$J$13,J38,"")</f>
        <v>16071.428571428571</v>
      </c>
      <c r="K39" s="32">
        <f>IF(B38&lt;'Умови та класичний графік'!$J$13,((I38*'Умови та класичний графік'!$J$22)/365)*F39,"")</f>
        <v>25183.708414872795</v>
      </c>
      <c r="L39" s="30">
        <f>IF(B38&lt;'Умови та класичний графік'!$J$13,SUM(M39:V39),"")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графік'!$J$13,XIRR($G$36:G39,$C$36:C39,0),"")</f>
        <v>-0.99999483675926149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графік'!$J$13,EDATE(C39,1),"")</f>
        <v>44317</v>
      </c>
      <c r="D40" s="36">
        <f>IF(B39&lt;'Умови та класичний графік'!$J$13,C39,"")</f>
        <v>44287</v>
      </c>
      <c r="E40" s="26">
        <f>IF(B39&lt;'Умови та класичний графік'!$J$13,C40-1,"")</f>
        <v>44316</v>
      </c>
      <c r="F40" s="37">
        <f>IF(B39&lt;'Умови та класичний графік'!$J$13,E40-D40+1,"")</f>
        <v>30</v>
      </c>
      <c r="G40" s="99">
        <f>IF(B39&lt;'Умови та класичний графік'!$J$13,J40+K40+L40,"")</f>
        <v>40145.547945205471</v>
      </c>
      <c r="H40" s="100"/>
      <c r="I40" s="32">
        <f>IF(B39&lt;'Умови та класичний графік'!$J$13,I39-J40,"")</f>
        <v>1285714.2857142854</v>
      </c>
      <c r="J40" s="32">
        <f>IF(B39&lt;'Умови та класичний графік'!$J$13,J39,"")</f>
        <v>16071.428571428571</v>
      </c>
      <c r="K40" s="32">
        <f>IF(B39&lt;'Умови та класичний графік'!$J$13,((I39*'Умови та класичний графік'!$J$22)/365)*F40,"")</f>
        <v>24074.119373776903</v>
      </c>
      <c r="L40" s="30">
        <f>IF(B39&lt;'Умови та класичний графік'!$J$13,SUM(M40:V40),"")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графік'!$J$13,XIRR($G$36:G40,$C$36:C40,0),"")</f>
        <v>-0.99979334135446918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графік'!$J$13,EDATE(C40,1),"")</f>
        <v>44348</v>
      </c>
      <c r="D41" s="36">
        <f>IF(B40&lt;'Умови та класичний графік'!$J$13,C40,"")</f>
        <v>44317</v>
      </c>
      <c r="E41" s="26">
        <f>IF(B40&lt;'Умови та класичний графік'!$J$13,C41-1,"")</f>
        <v>44347</v>
      </c>
      <c r="F41" s="37">
        <f>IF(B40&lt;'Умови та класичний графік'!$J$13,E41-D41+1,"")</f>
        <v>31</v>
      </c>
      <c r="G41" s="99">
        <f>IF(B40&lt;'Умови та класичний графік'!$J$13,J41+K41+L41,"")</f>
        <v>40640.900195694718</v>
      </c>
      <c r="H41" s="100"/>
      <c r="I41" s="32">
        <f>IF(B40&lt;'Умови та класичний графік'!$J$13,I40-J41,"")</f>
        <v>1269642.8571428568</v>
      </c>
      <c r="J41" s="32">
        <f>IF(B40&lt;'Умови та класичний графік'!$J$13,J40,"")</f>
        <v>16071.428571428571</v>
      </c>
      <c r="K41" s="32">
        <f>IF(B40&lt;'Умови та класичний графік'!$J$13,((I40*'Умови та класичний графік'!$J$22)/365)*F41,"")</f>
        <v>24569.471624266145</v>
      </c>
      <c r="L41" s="30">
        <f>IF(B40&lt;'Умови та класичний графік'!$J$13,SUM(M41:V41),"")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графік'!$J$13,XIRR($G$36:G41,$C$36:C41,0),"")</f>
        <v>-0.99808732307275527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графік'!$J$13,EDATE(C41,1),"")</f>
        <v>44378</v>
      </c>
      <c r="D42" s="36">
        <f>IF(B41&lt;'Умови та класичний графік'!$J$13,C41,"")</f>
        <v>44348</v>
      </c>
      <c r="E42" s="26">
        <f>IF(B41&lt;'Умови та класичний графік'!$J$13,C42-1,"")</f>
        <v>44377</v>
      </c>
      <c r="F42" s="37">
        <f>IF(B41&lt;'Умови та класичний графік'!$J$13,E42-D42+1,"")</f>
        <v>30</v>
      </c>
      <c r="G42" s="99">
        <f>IF(B41&lt;'Умови та класичний графік'!$J$13,J42+K42+L42,"")</f>
        <v>39551.125244618386</v>
      </c>
      <c r="H42" s="100"/>
      <c r="I42" s="32">
        <f>IF(B41&lt;'Умови та класичний графік'!$J$13,I41-J42,"")</f>
        <v>1253571.4285714282</v>
      </c>
      <c r="J42" s="32">
        <f>IF(B41&lt;'Умови та класичний графік'!$J$13,J41,"")</f>
        <v>16071.428571428571</v>
      </c>
      <c r="K42" s="32">
        <f>IF(B41&lt;'Умови та класичний графік'!$J$13,((I41*'Умови та класичний графік'!$J$22)/365)*F42,"")</f>
        <v>23479.696673189817</v>
      </c>
      <c r="L42" s="30">
        <f>IF(B41&lt;'Умови та класичний графік'!$J$13,SUM(M42:V42),"")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графік'!$J$13,XIRR($G$36:G42,$C$36:C42,0),"")</f>
        <v>-0.99224204970634555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графік'!$J$13,EDATE(C42,1),"")</f>
        <v>44409</v>
      </c>
      <c r="D43" s="36">
        <f>IF(B42&lt;'Умови та класичний графік'!$J$13,C42,"")</f>
        <v>44378</v>
      </c>
      <c r="E43" s="26">
        <f>IF(B42&lt;'Умови та класичний графік'!$J$13,C43-1,"")</f>
        <v>44408</v>
      </c>
      <c r="F43" s="37">
        <f>IF(B42&lt;'Умови та класичний графік'!$J$13,E43-D43+1,"")</f>
        <v>31</v>
      </c>
      <c r="G43" s="99">
        <f>IF(B42&lt;'Умови та класичний графік'!$J$13,J43+K43+L43,"")</f>
        <v>40026.663405088053</v>
      </c>
      <c r="H43" s="100"/>
      <c r="I43" s="32">
        <f>IF(B42&lt;'Умови та класичний графік'!$J$13,I42-J43,"")</f>
        <v>1237499.9999999995</v>
      </c>
      <c r="J43" s="32">
        <f>IF(B42&lt;'Умови та класичний графік'!$J$13,J42,"")</f>
        <v>16071.428571428571</v>
      </c>
      <c r="K43" s="32">
        <f>IF(B42&lt;'Умови та класичний графік'!$J$13,((I42*'Умови та класичний графік'!$J$22)/365)*F43,"")</f>
        <v>23955.234833659484</v>
      </c>
      <c r="L43" s="30">
        <f>IF(B42&lt;'Умови та класичний графік'!$J$13,SUM(M43:V43),"")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графік'!$J$13,XIRR($G$36:G43,$C$36:C43,0),"")</f>
        <v>-0.97898213628665554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графік'!$J$13,EDATE(C43,1),"")</f>
        <v>44440</v>
      </c>
      <c r="D44" s="36">
        <f>IF(B43&lt;'Умови та класичний графік'!$J$13,C43,"")</f>
        <v>44409</v>
      </c>
      <c r="E44" s="26">
        <f>IF(B43&lt;'Умови та класичний графік'!$J$13,C44-1,"")</f>
        <v>44439</v>
      </c>
      <c r="F44" s="37">
        <f>IF(B43&lt;'Умови та класичний графік'!$J$13,E44-D44+1,"")</f>
        <v>31</v>
      </c>
      <c r="G44" s="99">
        <f>IF(B43&lt;'Умови та класичний графік'!$J$13,J44+K44+L44,"")</f>
        <v>39719.545009784728</v>
      </c>
      <c r="H44" s="100"/>
      <c r="I44" s="32">
        <f>IF(B43&lt;'Умови та класичний графік'!$J$13,I43-J44,"")</f>
        <v>1221428.5714285709</v>
      </c>
      <c r="J44" s="32">
        <f>IF(B43&lt;'Умови та класичний графік'!$J$13,J43,"")</f>
        <v>16071.428571428571</v>
      </c>
      <c r="K44" s="32">
        <f>IF(B43&lt;'Умови та класичний графік'!$J$13,((I43*'Умови та класичний графік'!$J$22)/365)*F44,"")</f>
        <v>23648.116438356155</v>
      </c>
      <c r="L44" s="30">
        <f>IF(B43&lt;'Умови та класичний графік'!$J$13,SUM(M44:V44),"")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графік'!$J$13,XIRR($G$36:G44,$C$36:C44,0),"")</f>
        <v>-0.9567093447172268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графік'!$J$13,EDATE(C44,1),"")</f>
        <v>44470</v>
      </c>
      <c r="D45" s="36">
        <f>IF(B44&lt;'Умови та класичний графік'!$J$13,C44,"")</f>
        <v>44440</v>
      </c>
      <c r="E45" s="26">
        <f>IF(B44&lt;'Умови та класичний графік'!$J$13,C45-1,"")</f>
        <v>44469</v>
      </c>
      <c r="F45" s="37">
        <f>IF(B44&lt;'Умови та класичний графік'!$J$13,E45-D45+1,"")</f>
        <v>30</v>
      </c>
      <c r="G45" s="99">
        <f>IF(B44&lt;'Умови та класичний графік'!$J$13,J45+K45+L45,"")</f>
        <v>38659.491193737762</v>
      </c>
      <c r="H45" s="100"/>
      <c r="I45" s="32">
        <f>IF(B44&lt;'Умови та класичний графік'!$J$13,I44-J45,"")</f>
        <v>1205357.1428571423</v>
      </c>
      <c r="J45" s="32">
        <f>IF(B44&lt;'Умови та класичний графік'!$J$13,J44,"")</f>
        <v>16071.428571428571</v>
      </c>
      <c r="K45" s="32">
        <f>IF(B44&lt;'Умови та класичний графік'!$J$13,((I44*'Умови та класичний графік'!$J$22)/365)*F45,"")</f>
        <v>22588.062622309189</v>
      </c>
      <c r="L45" s="30">
        <f>IF(B44&lt;'Умови та класичний графік'!$J$13,SUM(M45:V45),"")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графік'!$J$13,XIRR($G$36:G45,$C$36:C45,0),"")</f>
        <v>-0.92626488183878364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графік'!$J$13,EDATE(C45,1),"")</f>
        <v>44501</v>
      </c>
      <c r="D46" s="36">
        <f>IF(B45&lt;'Умови та класичний графік'!$J$13,C45,"")</f>
        <v>44470</v>
      </c>
      <c r="E46" s="26">
        <f>IF(B45&lt;'Умови та класичний графік'!$J$13,C46-1,"")</f>
        <v>44500</v>
      </c>
      <c r="F46" s="37">
        <f>IF(B45&lt;'Умови та класичний графік'!$J$13,E46-D46+1,"")</f>
        <v>31</v>
      </c>
      <c r="G46" s="99">
        <f>IF(B45&lt;'Умови та класичний графік'!$J$13,J46+K46+L46,"")</f>
        <v>39105.30821917807</v>
      </c>
      <c r="H46" s="100"/>
      <c r="I46" s="32">
        <f>IF(B45&lt;'Умови та класичний графік'!$J$13,I45-J46,"")</f>
        <v>1189285.7142857136</v>
      </c>
      <c r="J46" s="32">
        <f>IF(B45&lt;'Умови та класичний графік'!$J$13,J45,"")</f>
        <v>16071.428571428571</v>
      </c>
      <c r="K46" s="32">
        <f>IF(B45&lt;'Умови та класичний графік'!$J$13,((I45*'Умови та класичний графік'!$J$22)/365)*F46,"")</f>
        <v>23033.879647749502</v>
      </c>
      <c r="L46" s="30">
        <f>IF(B45&lt;'Умови та класичний графік'!$J$13,SUM(M46:V46),"")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графік'!$J$13,XIRR($G$36:G46,$C$36:C46,0),"")</f>
        <v>-0.88740496429808435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графік'!$J$13,EDATE(C46,1),"")</f>
        <v>44531</v>
      </c>
      <c r="D47" s="36">
        <f>IF(B46&lt;'Умови та класичний графік'!$J$13,C46,"")</f>
        <v>44501</v>
      </c>
      <c r="E47" s="26">
        <f>IF(B46&lt;'Умови та класичний графік'!$J$13,C47-1,"")</f>
        <v>44530</v>
      </c>
      <c r="F47" s="37">
        <f>IF(B46&lt;'Умови та класичний графік'!$J$13,E47-D47+1,"")</f>
        <v>30</v>
      </c>
      <c r="G47" s="99">
        <f>IF(B46&lt;'Умови та класичний графік'!$J$13,J47+K47+L47,"")</f>
        <v>38065.068493150669</v>
      </c>
      <c r="H47" s="100"/>
      <c r="I47" s="32">
        <f>IF(B46&lt;'Умови та класичний графік'!$J$13,I46-J47,"")</f>
        <v>1173214.285714285</v>
      </c>
      <c r="J47" s="32">
        <f>IF(B46&lt;'Умови та класичний графік'!$J$13,J46,"")</f>
        <v>16071.428571428571</v>
      </c>
      <c r="K47" s="32">
        <f>IF(B46&lt;'Умови та класичний графік'!$J$13,((I46*'Умови та класичний графік'!$J$22)/365)*F47,"")</f>
        <v>21993.639921722101</v>
      </c>
      <c r="L47" s="30">
        <f>IF(B46&lt;'Умови та класичний графік'!$J$13,SUM(M47:V47),"")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графік'!$J$13,XIRR($G$36:G47,$C$36:C47,0),"")</f>
        <v>-0.8435224370861798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графік'!$J$13,EDATE(C47,1),"")</f>
        <v>44562</v>
      </c>
      <c r="D48" s="36">
        <f>IF(B47&lt;'Умови та класичний графік'!$J$13,C47,"")</f>
        <v>44531</v>
      </c>
      <c r="E48" s="26">
        <f>IF(B47&lt;'Умови та класичний графік'!$J$13,C48-1,"")</f>
        <v>44561</v>
      </c>
      <c r="F48" s="37">
        <f>IF(B47&lt;'Умови та класичний графік'!$J$13,E48-D48+1,"")</f>
        <v>31</v>
      </c>
      <c r="G48" s="99">
        <f>IF(B47&lt;'Умови та класичний графік'!$J$13,J48+K48+L48,"")</f>
        <v>133262.49999999997</v>
      </c>
      <c r="H48" s="100"/>
      <c r="I48" s="32">
        <f>IF(B47&lt;'Умови та класичний графік'!$J$13,I47-J48,"")</f>
        <v>1157142.8571428563</v>
      </c>
      <c r="J48" s="32">
        <f>IF(B47&lt;'Умови та класичний графік'!$J$13,J47,"")</f>
        <v>16071.428571428571</v>
      </c>
      <c r="K48" s="32">
        <f>IF(B47&lt;'Умови та класичний графік'!$J$13,((I47*'Умови та класичний графік'!$J$22)/365)*F48,"")</f>
        <v>22419.642857142844</v>
      </c>
      <c r="L48" s="30">
        <f>IF(B47&lt;'Умови та класичний графік'!$J$13,SUM(M48:V48),"")</f>
        <v>94771.428571428565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графік'!$J$13,('Умови та класичний графік'!$J$14*$N$19)+(I48*$N$20)+$J$21,"")</f>
        <v>94771.428571428565</v>
      </c>
      <c r="V48" s="41"/>
      <c r="W48" s="43">
        <f>IF(B47&lt;'Умови та класичний графік'!$J$13,XIRR($G$36:G48,$C$36:C48,0),"")</f>
        <v>-0.68299501002691698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графік'!$J$13,EDATE(C48,1),"")</f>
        <v>44593</v>
      </c>
      <c r="D49" s="36">
        <f>IF(B48&lt;'Умови та класичний графік'!$J$13,C48,"")</f>
        <v>44562</v>
      </c>
      <c r="E49" s="26">
        <f>IF(B48&lt;'Умови та класичний графік'!$J$13,C49-1,"")</f>
        <v>44592</v>
      </c>
      <c r="F49" s="37">
        <f>IF(B48&lt;'Умови та класичний графік'!$J$13,E49-D49+1,"")</f>
        <v>31</v>
      </c>
      <c r="G49" s="99">
        <f>IF(B48&lt;'Умови та класичний графік'!$J$13,J49+K49+L49,"")</f>
        <v>38183.953033268088</v>
      </c>
      <c r="H49" s="100"/>
      <c r="I49" s="32">
        <f>IF(B48&lt;'Умови та класичний графік'!$J$13,I48-J49,"")</f>
        <v>1141071.4285714277</v>
      </c>
      <c r="J49" s="32">
        <f>IF(B48&lt;'Умови та класичний графік'!$J$13,J48,"")</f>
        <v>16071.428571428571</v>
      </c>
      <c r="K49" s="32">
        <f>IF(B48&lt;'Умови та класичний графік'!$J$13,((I48*'Умови та класичний графік'!$J$22)/365)*F49,"")</f>
        <v>22112.524461839515</v>
      </c>
      <c r="L49" s="30">
        <f>IF(B48&lt;'Умови та класичний графік'!$J$13,SUM(M49:V49),"")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графік'!$J$13,XIRR($G$36:G49,$C$36:C49,0),"")</f>
        <v>-0.63630262874983246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графік'!$J$13,EDATE(C49,1),"")</f>
        <v>44621</v>
      </c>
      <c r="D50" s="36">
        <f>IF(B49&lt;'Умови та класичний графік'!$J$13,C49,"")</f>
        <v>44593</v>
      </c>
      <c r="E50" s="26">
        <f>IF(B49&lt;'Умови та класичний графік'!$J$13,C50-1,"")</f>
        <v>44620</v>
      </c>
      <c r="F50" s="37">
        <f>IF(B49&lt;'Умови та класичний графік'!$J$13,E50-D50+1,"")</f>
        <v>28</v>
      </c>
      <c r="G50" s="99">
        <f>IF(B49&lt;'Умови та класичний графік'!$J$13,J50+K50+L50,"")</f>
        <v>35766.63405088061</v>
      </c>
      <c r="H50" s="100"/>
      <c r="I50" s="32">
        <f>IF(B49&lt;'Умови та класичний графік'!$J$13,I49-J50,"")</f>
        <v>1124999.9999999991</v>
      </c>
      <c r="J50" s="32">
        <f>IF(B49&lt;'Умови та класичний графік'!$J$13,J49,"")</f>
        <v>16071.428571428571</v>
      </c>
      <c r="K50" s="32">
        <f>IF(B49&lt;'Умови та класичний графік'!$J$13,((I49*'Умови та класичний графік'!$J$22)/365)*F50,"")</f>
        <v>19695.205479452041</v>
      </c>
      <c r="L50" s="30">
        <f>IF(B49&lt;'Умови та класичний графік'!$J$13,SUM(M50:V50),"")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графік'!$J$13,XIRR($G$36:G50,$C$36:C50,0),"")</f>
        <v>-0.59124232553504441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графік'!$J$13,EDATE(C50,1),"")</f>
        <v>44652</v>
      </c>
      <c r="D51" s="36">
        <f>IF(B50&lt;'Умови та класичний графік'!$J$13,C50,"")</f>
        <v>44621</v>
      </c>
      <c r="E51" s="26">
        <f>IF(B50&lt;'Умови та класичний графік'!$J$13,C51-1,"")</f>
        <v>44651</v>
      </c>
      <c r="F51" s="37">
        <f>IF(B50&lt;'Умови та класичний графік'!$J$13,E51-D51+1,"")</f>
        <v>31</v>
      </c>
      <c r="G51" s="99">
        <f>IF(B50&lt;'Умови та класичний графік'!$J$13,J51+K51+L51,"")</f>
        <v>37569.71624266143</v>
      </c>
      <c r="H51" s="100"/>
      <c r="I51" s="32">
        <f>IF(B50&lt;'Умови та класичний графік'!$J$13,I50-J51,"")</f>
        <v>1108928.5714285704</v>
      </c>
      <c r="J51" s="32">
        <f>IF(B50&lt;'Умови та класичний графік'!$J$13,J50,"")</f>
        <v>16071.428571428571</v>
      </c>
      <c r="K51" s="32">
        <f>IF(B50&lt;'Умови та класичний графік'!$J$13,((I50*'Умови та класичний графік'!$J$22)/365)*F51,"")</f>
        <v>21498.287671232858</v>
      </c>
      <c r="L51" s="30">
        <f>IF(B50&lt;'Умови та класичний графік'!$J$13,SUM(M51:V51),"")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графік'!$J$13,XIRR($G$36:G51,$C$36:C51,0),"")</f>
        <v>-0.5430592619002611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графік'!$J$13,EDATE(C51,1),"")</f>
        <v>44682</v>
      </c>
      <c r="D52" s="36">
        <f>IF(B51&lt;'Умови та класичний графік'!$J$13,C51,"")</f>
        <v>44652</v>
      </c>
      <c r="E52" s="26">
        <f>IF(B51&lt;'Умови та класичний графік'!$J$13,C52-1,"")</f>
        <v>44681</v>
      </c>
      <c r="F52" s="37">
        <f>IF(B51&lt;'Умови та класичний графік'!$J$13,E52-D52+1,"")</f>
        <v>30</v>
      </c>
      <c r="G52" s="99">
        <f>IF(B51&lt;'Умови та класичний графік'!$J$13,J52+K52+L52,"")</f>
        <v>36579.01174168296</v>
      </c>
      <c r="H52" s="100"/>
      <c r="I52" s="32">
        <f>IF(B51&lt;'Умови та класичний графік'!$J$13,I51-J52,"")</f>
        <v>1092857.1428571418</v>
      </c>
      <c r="J52" s="32">
        <f>IF(B51&lt;'Умови та класичний графік'!$J$13,J51,"")</f>
        <v>16071.428571428571</v>
      </c>
      <c r="K52" s="32">
        <f>IF(B51&lt;'Умови та класичний графік'!$J$13,((I51*'Умови та класичний графік'!$J$22)/365)*F52,"")</f>
        <v>20507.583170254387</v>
      </c>
      <c r="L52" s="30">
        <f>IF(B51&lt;'Умови та класичний графік'!$J$13,SUM(M52:V52),"")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графік'!$J$13,XIRR($G$36:G52,$C$36:C52,0),"")</f>
        <v>-0.49623473844714472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графік'!$J$13,EDATE(C52,1),"")</f>
        <v>44713</v>
      </c>
      <c r="D53" s="36">
        <f>IF(B52&lt;'Умови та класичний графік'!$J$13,C52,"")</f>
        <v>44682</v>
      </c>
      <c r="E53" s="26">
        <f>IF(B52&lt;'Умови та класичний графік'!$J$13,C53-1,"")</f>
        <v>44712</v>
      </c>
      <c r="F53" s="37">
        <f>IF(B52&lt;'Умови та класичний графік'!$J$13,E53-D53+1,"")</f>
        <v>31</v>
      </c>
      <c r="G53" s="99">
        <f>IF(B52&lt;'Умови та класичний графік'!$J$13,J53+K53+L53,"")</f>
        <v>36955.479452054773</v>
      </c>
      <c r="H53" s="100"/>
      <c r="I53" s="32">
        <f>IF(B52&lt;'Умови та класичний графік'!$J$13,I52-J53,"")</f>
        <v>1076785.7142857132</v>
      </c>
      <c r="J53" s="32">
        <f>IF(B52&lt;'Умови та класичний графік'!$J$13,J52,"")</f>
        <v>16071.428571428571</v>
      </c>
      <c r="K53" s="32">
        <f>IF(B52&lt;'Умови та класичний графік'!$J$13,((I52*'Умови та класичний графік'!$J$22)/365)*F53,"")</f>
        <v>20884.050880626201</v>
      </c>
      <c r="L53" s="30">
        <f>IF(B52&lt;'Умови та класичний графік'!$J$13,SUM(M53:V53),"")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графік'!$J$13,XIRR($G$36:G53,$C$36:C53,0),"")</f>
        <v>-0.44952228550665074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графік'!$J$13,EDATE(C53,1),"")</f>
        <v>44743</v>
      </c>
      <c r="D54" s="36">
        <f>IF(B53&lt;'Умови та класичний графік'!$J$13,C53,"")</f>
        <v>44713</v>
      </c>
      <c r="E54" s="26">
        <f>IF(B53&lt;'Умови та класичний графік'!$J$13,C54-1,"")</f>
        <v>44742</v>
      </c>
      <c r="F54" s="37">
        <f>IF(B53&lt;'Умови та класичний графік'!$J$13,E54-D54+1,"")</f>
        <v>30</v>
      </c>
      <c r="G54" s="99">
        <f>IF(B53&lt;'Умови та класичний графік'!$J$13,J54+K54+L54,"")</f>
        <v>35984.589041095867</v>
      </c>
      <c r="H54" s="100"/>
      <c r="I54" s="32">
        <f>IF(B53&lt;'Умови та класичний графік'!$J$13,I53-J54,"")</f>
        <v>1060714.2857142845</v>
      </c>
      <c r="J54" s="32">
        <f>IF(B53&lt;'Умови та класичний графік'!$J$13,J53,"")</f>
        <v>16071.428571428571</v>
      </c>
      <c r="K54" s="32">
        <f>IF(B53&lt;'Умови та класичний графік'!$J$13,((I53*'Умови та класичний графік'!$J$22)/365)*F54,"")</f>
        <v>19913.160469667298</v>
      </c>
      <c r="L54" s="30">
        <f>IF(B53&lt;'Умови та класичний графік'!$J$13,SUM(M54:V54),"")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графік'!$J$13,XIRR($G$36:G54,$C$36:C54,0),"")</f>
        <v>-0.40512634392000735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графік'!$J$13,EDATE(C54,1),"")</f>
        <v>44774</v>
      </c>
      <c r="D55" s="36">
        <f>IF(B54&lt;'Умови та класичний графік'!$J$13,C54,"")</f>
        <v>44743</v>
      </c>
      <c r="E55" s="26">
        <f>IF(B54&lt;'Умови та класичний графік'!$J$13,C55-1,"")</f>
        <v>44773</v>
      </c>
      <c r="F55" s="37">
        <f>IF(B54&lt;'Умови та класичний графік'!$J$13,E55-D55+1,"")</f>
        <v>31</v>
      </c>
      <c r="G55" s="99">
        <f>IF(B54&lt;'Умови та класичний графік'!$J$13,J55+K55+L55,"")</f>
        <v>36341.242661448123</v>
      </c>
      <c r="H55" s="100"/>
      <c r="I55" s="32">
        <f>IF(B54&lt;'Умови та класичний графік'!$J$13,I54-J55,"")</f>
        <v>1044642.857142856</v>
      </c>
      <c r="J55" s="32">
        <f>IF(B54&lt;'Умови та класичний графік'!$J$13,J54,"")</f>
        <v>16071.428571428571</v>
      </c>
      <c r="K55" s="32">
        <f>IF(B54&lt;'Умови та класичний графік'!$J$13,((I54*'Умови та класичний графік'!$J$22)/365)*F55,"")</f>
        <v>20269.81409001955</v>
      </c>
      <c r="L55" s="30">
        <f>IF(B54&lt;'Умови та класичний графік'!$J$13,SUM(M55:V55),"")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графік'!$J$13,XIRR($G$36:G55,$C$36:C55,0),"")</f>
        <v>-0.36163142183698704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графік'!$J$13,EDATE(C55,1),"")</f>
        <v>44805</v>
      </c>
      <c r="D56" s="36">
        <f>IF(B55&lt;'Умови та класичний графік'!$J$13,C55,"")</f>
        <v>44774</v>
      </c>
      <c r="E56" s="26">
        <f>IF(B55&lt;'Умови та класичний графік'!$J$13,C56-1,"")</f>
        <v>44804</v>
      </c>
      <c r="F56" s="37">
        <f>IF(B55&lt;'Умови та класичний графік'!$J$13,E56-D56+1,"")</f>
        <v>31</v>
      </c>
      <c r="G56" s="99">
        <f>IF(B55&lt;'Умови та класичний графік'!$J$13,J56+K56+L56,"")</f>
        <v>36034.12426614479</v>
      </c>
      <c r="H56" s="100"/>
      <c r="I56" s="32">
        <f>IF(B55&lt;'Умови та класичний графік'!$J$13,I55-J56,"")</f>
        <v>1028571.4285714275</v>
      </c>
      <c r="J56" s="32">
        <f>IF(B55&lt;'Умови та класичний графік'!$J$13,J55,"")</f>
        <v>16071.428571428571</v>
      </c>
      <c r="K56" s="32">
        <f>IF(B55&lt;'Умови та класичний графік'!$J$13,((I55*'Умови та класичний графік'!$J$22)/365)*F56,"")</f>
        <v>19962.695694716222</v>
      </c>
      <c r="L56" s="30">
        <f>IF(B55&lt;'Умови та класичний графік'!$J$13,SUM(M56:V56),"")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графік'!$J$13,XIRR($G$36:G56,$C$36:C56,0),"")</f>
        <v>-0.32007991956479842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графік'!$J$13,EDATE(C56,1),"")</f>
        <v>44835</v>
      </c>
      <c r="D57" s="36">
        <f>IF(B56&lt;'Умови та класичний графік'!$J$13,C56,"")</f>
        <v>44805</v>
      </c>
      <c r="E57" s="26">
        <f>IF(B56&lt;'Умови та класичний графік'!$J$13,C57-1,"")</f>
        <v>44834</v>
      </c>
      <c r="F57" s="37">
        <f>IF(B56&lt;'Умови та класичний графік'!$J$13,E57-D57+1,"")</f>
        <v>30</v>
      </c>
      <c r="G57" s="99">
        <f>IF(B56&lt;'Умови та класичний графік'!$J$13,J57+K57+L57,"")</f>
        <v>35092.954990215243</v>
      </c>
      <c r="H57" s="100"/>
      <c r="I57" s="32">
        <f>IF(B56&lt;'Умови та класичний графік'!$J$13,I56-J57,"")</f>
        <v>1012499.999999999</v>
      </c>
      <c r="J57" s="32">
        <f>IF(B56&lt;'Умови та класичний графік'!$J$13,J56,"")</f>
        <v>16071.428571428571</v>
      </c>
      <c r="K57" s="32">
        <f>IF(B56&lt;'Умови та класичний графік'!$J$13,((I56*'Умови та класичний графік'!$J$22)/365)*F57,"")</f>
        <v>19021.526418786674</v>
      </c>
      <c r="L57" s="30">
        <f>IF(B56&lt;'Умови та класичний графік'!$J$13,SUM(M57:V57),"")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графік'!$J$13,XIRR($G$36:G57,$C$36:C57,0),"")</f>
        <v>-0.28128559627972538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графік'!$J$13,EDATE(C57,1),"")</f>
        <v>44866</v>
      </c>
      <c r="D58" s="36">
        <f>IF(B57&lt;'Умови та класичний графік'!$J$13,C57,"")</f>
        <v>44835</v>
      </c>
      <c r="E58" s="26">
        <f>IF(B57&lt;'Умови та класичний графік'!$J$13,C58-1,"")</f>
        <v>44865</v>
      </c>
      <c r="F58" s="37">
        <f>IF(B57&lt;'Умови та класичний графік'!$J$13,E58-D58+1,"")</f>
        <v>31</v>
      </c>
      <c r="G58" s="99">
        <f>IF(B57&lt;'Умови та класичний графік'!$J$13,J58+K58+L58,"")</f>
        <v>35419.88747553814</v>
      </c>
      <c r="H58" s="100"/>
      <c r="I58" s="32">
        <f>IF(B57&lt;'Умови та класичний графік'!$J$13,I57-J58,"")</f>
        <v>996428.57142857043</v>
      </c>
      <c r="J58" s="32">
        <f>IF(B57&lt;'Умови та класичний графік'!$J$13,J57,"")</f>
        <v>16071.428571428571</v>
      </c>
      <c r="K58" s="32">
        <f>IF(B57&lt;'Умови та класичний графік'!$J$13,((I57*'Умови та класичний графік'!$J$22)/365)*F58,"")</f>
        <v>19348.458904109571</v>
      </c>
      <c r="L58" s="30">
        <f>IF(B57&lt;'Умови та класичний графік'!$J$13,SUM(M58:V58),"")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графік'!$J$13,XIRR($G$36:G58,$C$36:C58,0),"")</f>
        <v>-0.24384127862159166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графік'!$J$13,EDATE(C58,1),"")</f>
        <v>44896</v>
      </c>
      <c r="D59" s="36">
        <f>IF(B58&lt;'Умови та класичний графік'!$J$13,C58,"")</f>
        <v>44866</v>
      </c>
      <c r="E59" s="26">
        <f>IF(B58&lt;'Умови та класичний графік'!$J$13,C59-1,"")</f>
        <v>44895</v>
      </c>
      <c r="F59" s="37">
        <f>IF(B58&lt;'Умови та класичний графік'!$J$13,E59-D59+1,"")</f>
        <v>30</v>
      </c>
      <c r="G59" s="99">
        <f>IF(B58&lt;'Умови та класичний графік'!$J$13,J59+K59+L59,"")</f>
        <v>34498.532289628158</v>
      </c>
      <c r="H59" s="100"/>
      <c r="I59" s="32">
        <f>IF(B58&lt;'Умови та класичний графік'!$J$13,I58-J59,"")</f>
        <v>980357.14285714191</v>
      </c>
      <c r="J59" s="32">
        <f>IF(B58&lt;'Умови та класичний графік'!$J$13,J58,"")</f>
        <v>16071.428571428571</v>
      </c>
      <c r="K59" s="32">
        <f>IF(B58&lt;'Умови та класичний графік'!$J$13,((I58*'Умови та класичний графік'!$J$22)/365)*F59,"")</f>
        <v>18427.103718199589</v>
      </c>
      <c r="L59" s="30">
        <f>IF(B58&lt;'Умови та класичний графік'!$J$13,SUM(M59:V59),"")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графік'!$J$13,XIRR($G$36:G59,$C$36:C59,0),"")</f>
        <v>-0.20908708912100638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графік'!$J$13,EDATE(C59,1),"")</f>
        <v>44927</v>
      </c>
      <c r="D60" s="36">
        <f>IF(B59&lt;'Умови та класичний графік'!$J$13,C59,"")</f>
        <v>44896</v>
      </c>
      <c r="E60" s="26">
        <f>IF(B59&lt;'Умови та класичний графік'!$J$13,C60-1,"")</f>
        <v>44926</v>
      </c>
      <c r="F60" s="37">
        <f>IF(B59&lt;'Умови та класичний графік'!$J$13,E60-D60+1,"")</f>
        <v>31</v>
      </c>
      <c r="G60" s="99">
        <f>IF(B59&lt;'Умови та класичний графік'!$J$13,J60+K60+L60,"")</f>
        <v>128998.50782778864</v>
      </c>
      <c r="H60" s="100"/>
      <c r="I60" s="32">
        <f>IF(B59&lt;'Умови та класичний графік'!$J$13,I59-J60,"")</f>
        <v>964285.71428571339</v>
      </c>
      <c r="J60" s="32">
        <f>IF(B59&lt;'Умови та класичний графік'!$J$13,J59,"")</f>
        <v>16071.428571428571</v>
      </c>
      <c r="K60" s="32">
        <f>IF(B59&lt;'Умови та класичний графік'!$J$13,((I59*'Умови та класичний графік'!$J$22)/365)*F60,"")</f>
        <v>18734.222113502918</v>
      </c>
      <c r="L60" s="30">
        <f>IF(B59&lt;'Умови та класичний графік'!$J$13,SUM(M60:V60),"")</f>
        <v>94192.857142857145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графік'!$J$13,('Умови та класичний графік'!$J$14*$N$19)+(I60*$N$20)+$J$21,"")</f>
        <v>94192.857142857145</v>
      </c>
      <c r="V60" s="41"/>
      <c r="W60" s="43">
        <f>IF(B59&lt;'Умови та класичний графік'!$J$13,XIRR($G$36:G60,$C$36:C60,0),"")</f>
        <v>-9.4957040550149974E-2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графік'!$J$13,EDATE(C60,1),"")</f>
        <v>44958</v>
      </c>
      <c r="D61" s="36">
        <f>IF(B60&lt;'Умови та класичний графік'!$J$13,C60,"")</f>
        <v>44927</v>
      </c>
      <c r="E61" s="26">
        <f>IF(B60&lt;'Умови та класичний графік'!$J$13,C61-1,"")</f>
        <v>44957</v>
      </c>
      <c r="F61" s="37">
        <f>IF(B60&lt;'Умови та класичний графік'!$J$13,E61-D61+1,"")</f>
        <v>31</v>
      </c>
      <c r="G61" s="99">
        <f>IF(B60&lt;'Умови та класичний графік'!$J$13,J61+K61+L61,"")</f>
        <v>34498.532289628158</v>
      </c>
      <c r="H61" s="100"/>
      <c r="I61" s="32">
        <f>IF(B60&lt;'Умови та класичний графік'!$J$13,I60-J61,"")</f>
        <v>948214.28571428487</v>
      </c>
      <c r="J61" s="32">
        <f>IF(B60&lt;'Умови та класичний графік'!$J$13,J60,"")</f>
        <v>16071.428571428571</v>
      </c>
      <c r="K61" s="32">
        <f>IF(B60&lt;'Умови та класичний графік'!$J$13,((I60*'Умови та класичний графік'!$J$22)/365)*F61,"")</f>
        <v>18427.103718199589</v>
      </c>
      <c r="L61" s="30">
        <f>IF(B60&lt;'Умови та класичний графік'!$J$13,SUM(M61:V61),"")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графік'!$J$13,XIRR($G$36:G61,$C$36:C61,0),"")</f>
        <v>-6.7903217312954373E-2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графік'!$J$13,EDATE(C61,1),"")</f>
        <v>44986</v>
      </c>
      <c r="D62" s="36">
        <f>IF(B61&lt;'Умови та класичний графік'!$J$13,C61,"")</f>
        <v>44958</v>
      </c>
      <c r="E62" s="26">
        <f>IF(B61&lt;'Умови та класичний графік'!$J$13,C62-1,"")</f>
        <v>44985</v>
      </c>
      <c r="F62" s="37">
        <f>IF(B61&lt;'Умови та класичний графік'!$J$13,E62-D62+1,"")</f>
        <v>28</v>
      </c>
      <c r="G62" s="99">
        <f>IF(B61&lt;'Умови та класичний графік'!$J$13,J62+K62+L62,"")</f>
        <v>32437.866927592939</v>
      </c>
      <c r="H62" s="100"/>
      <c r="I62" s="32">
        <f>IF(B61&lt;'Умови та класичний графік'!$J$13,I61-J62,"")</f>
        <v>932142.85714285634</v>
      </c>
      <c r="J62" s="32">
        <f>IF(B61&lt;'Умови та класичний графік'!$J$13,J61,"")</f>
        <v>16071.428571428571</v>
      </c>
      <c r="K62" s="32">
        <f>IF(B61&lt;'Умови та класичний графік'!$J$13,((I61*'Умови та класичний графік'!$J$22)/365)*F62,"")</f>
        <v>16366.438356164368</v>
      </c>
      <c r="L62" s="30">
        <f>IF(B61&lt;'Умови та класичний графік'!$J$13,SUM(M62:V62),"")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графік'!$J$13,XIRR($G$36:G62,$C$36:C62,0),"")</f>
        <v>-4.3547907777912918E-2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графік'!$J$13,EDATE(C62,1),"")</f>
        <v>45017</v>
      </c>
      <c r="D63" s="36">
        <f>IF(B62&lt;'Умови та класичний графік'!$J$13,C62,"")</f>
        <v>44986</v>
      </c>
      <c r="E63" s="26">
        <f>IF(B62&lt;'Умови та класичний графік'!$J$13,C63-1,"")</f>
        <v>45016</v>
      </c>
      <c r="F63" s="37">
        <f>IF(B62&lt;'Умови та класичний графік'!$J$13,E63-D63+1,"")</f>
        <v>31</v>
      </c>
      <c r="G63" s="99">
        <f>IF(B62&lt;'Умови та класичний графік'!$J$13,J63+K63+L63,"")</f>
        <v>33884.295499021515</v>
      </c>
      <c r="H63" s="100"/>
      <c r="I63" s="32">
        <f>IF(B62&lt;'Умови та класичний графік'!$J$13,I62-J63,"")</f>
        <v>916071.42857142782</v>
      </c>
      <c r="J63" s="32">
        <f>IF(B62&lt;'Умови та класичний графік'!$J$13,J62,"")</f>
        <v>16071.428571428571</v>
      </c>
      <c r="K63" s="32">
        <f>IF(B62&lt;'Умови та класичний графік'!$J$13,((I62*'Умови та класичний графік'!$J$22)/365)*F63,"")</f>
        <v>17812.866927592942</v>
      </c>
      <c r="L63" s="30">
        <f>IF(B62&lt;'Умови та класичний графік'!$J$13,SUM(M63:V63),"")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графік'!$J$13,XIRR($G$36:G63,$C$36:C63,0),"")</f>
        <v>-1.9218987935446206E-2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графік'!$J$13,EDATE(C63,1),"")</f>
        <v>45047</v>
      </c>
      <c r="D64" s="36">
        <f>IF(B63&lt;'Умови та класичний графік'!$J$13,C63,"")</f>
        <v>45017</v>
      </c>
      <c r="E64" s="26">
        <f>IF(B63&lt;'Умови та класичний графік'!$J$13,C64-1,"")</f>
        <v>45046</v>
      </c>
      <c r="F64" s="37">
        <f>IF(B63&lt;'Умови та класичний графік'!$J$13,E64-D64+1,"")</f>
        <v>30</v>
      </c>
      <c r="G64" s="99">
        <f>IF(B63&lt;'Умови та класичний графік'!$J$13,J64+K64+L64,"")</f>
        <v>33012.475538160455</v>
      </c>
      <c r="H64" s="100"/>
      <c r="I64" s="32">
        <f>IF(B63&lt;'Умови та класичний графік'!$J$13,I63-J64,"")</f>
        <v>899999.9999999993</v>
      </c>
      <c r="J64" s="32">
        <f>IF(B63&lt;'Умови та класичний графік'!$J$13,J63,"")</f>
        <v>16071.428571428571</v>
      </c>
      <c r="K64" s="32">
        <f>IF(B63&lt;'Умови та класичний графік'!$J$13,((I63*'Умови та класичний графік'!$J$22)/365)*F64,"")</f>
        <v>16941.046966731887</v>
      </c>
      <c r="L64" s="30">
        <f>IF(B63&lt;'Умови та класичний графік'!$J$13,SUM(M64:V64),"")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графік'!$J$13,XIRR($G$36:G64,$C$36:C64,0),"")</f>
        <v>3.3923583984375007E-3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графік'!$J$13,EDATE(C64,1),"")</f>
        <v>45078</v>
      </c>
      <c r="D65" s="36">
        <f>IF(B64&lt;'Умови та класичний графік'!$J$13,C64,"")</f>
        <v>45047</v>
      </c>
      <c r="E65" s="26">
        <f>IF(B64&lt;'Умови та класичний графік'!$J$13,C65-1,"")</f>
        <v>45077</v>
      </c>
      <c r="F65" s="37">
        <f>IF(B64&lt;'Умови та класичний графік'!$J$13,E65-D65+1,"")</f>
        <v>31</v>
      </c>
      <c r="G65" s="99">
        <f>IF(B64&lt;'Умови та класичний графік'!$J$13,J65+K65+L65,"")</f>
        <v>33270.058708414857</v>
      </c>
      <c r="H65" s="100"/>
      <c r="I65" s="32">
        <f>IF(B64&lt;'Умови та класичний графік'!$J$13,I64-J65,"")</f>
        <v>883928.57142857078</v>
      </c>
      <c r="J65" s="32">
        <f>IF(B64&lt;'Умови та класичний графік'!$J$13,J64,"")</f>
        <v>16071.428571428571</v>
      </c>
      <c r="K65" s="32">
        <f>IF(B64&lt;'Умови та класичний графік'!$J$13,((I64*'Умови та класичний графік'!$J$22)/365)*F65,"")</f>
        <v>17198.630136986289</v>
      </c>
      <c r="L65" s="30">
        <f>IF(B64&lt;'Умови та класичний графік'!$J$13,SUM(M65:V65),"")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графік'!$J$13,XIRR($G$36:G65,$C$36:C65,0),"")</f>
        <v>2.5107280273437504E-2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графік'!$J$13,EDATE(C65,1),"")</f>
        <v>45108</v>
      </c>
      <c r="D66" s="36">
        <f>IF(B65&lt;'Умови та класичний графік'!$J$13,C65,"")</f>
        <v>45078</v>
      </c>
      <c r="E66" s="26">
        <f>IF(B65&lt;'Умови та класичний графік'!$J$13,C66-1,"")</f>
        <v>45107</v>
      </c>
      <c r="F66" s="37">
        <f>IF(B65&lt;'Умови та класичний графік'!$J$13,E66-D66+1,"")</f>
        <v>30</v>
      </c>
      <c r="G66" s="99">
        <f>IF(B65&lt;'Умови та класичний графік'!$J$13,J66+K66+L66,"")</f>
        <v>32418.05283757337</v>
      </c>
      <c r="H66" s="100"/>
      <c r="I66" s="32">
        <f>IF(B65&lt;'Умови та класичний графік'!$J$13,I65-J66,"")</f>
        <v>867857.14285714226</v>
      </c>
      <c r="J66" s="32">
        <f>IF(B65&lt;'Умови та класичний графік'!$J$13,J65,"")</f>
        <v>16071.428571428571</v>
      </c>
      <c r="K66" s="32">
        <f>IF(B65&lt;'Умови та класичний графік'!$J$13,((I65*'Умови та класичний графік'!$J$22)/365)*F66,"")</f>
        <v>16346.624266144801</v>
      </c>
      <c r="L66" s="30">
        <f>IF(B65&lt;'Умови та класичний графік'!$J$13,SUM(M66:V66),"")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графік'!$J$13,XIRR($G$36:G66,$C$36:C66,0),"")</f>
        <v>4.5253979492187499E-2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графік'!$J$13,EDATE(C66,1),"")</f>
        <v>45139</v>
      </c>
      <c r="D67" s="36">
        <f>IF(B66&lt;'Умови та класичний графік'!$J$13,C66,"")</f>
        <v>45108</v>
      </c>
      <c r="E67" s="26">
        <f>IF(B66&lt;'Умови та класичний графік'!$J$13,C67-1,"")</f>
        <v>45138</v>
      </c>
      <c r="F67" s="37">
        <f>IF(B66&lt;'Умови та класичний графік'!$J$13,E67-D67+1,"")</f>
        <v>31</v>
      </c>
      <c r="G67" s="99">
        <f>IF(B66&lt;'Умови та класичний графік'!$J$13,J67+K67+L67,"")</f>
        <v>32655.821917808207</v>
      </c>
      <c r="H67" s="100"/>
      <c r="I67" s="32">
        <f>IF(B66&lt;'Умови та класичний графік'!$J$13,I66-J67,"")</f>
        <v>851785.71428571374</v>
      </c>
      <c r="J67" s="32">
        <f>IF(B66&lt;'Умови та класичний графік'!$J$13,J66,"")</f>
        <v>16071.428571428571</v>
      </c>
      <c r="K67" s="32">
        <f>IF(B66&lt;'Умови та класичний графік'!$J$13,((I66*'Умови та класичний графік'!$J$22)/365)*F67,"")</f>
        <v>16584.393346379635</v>
      </c>
      <c r="L67" s="30">
        <f>IF(B66&lt;'Умови та класичний графік'!$J$13,SUM(M67:V67),"")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графік'!$J$13,XIRR($G$36:G67,$C$36:C67,0),"")</f>
        <v>6.4564887695312517E-2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графік'!$J$13,EDATE(C67,1),"")</f>
        <v>45170</v>
      </c>
      <c r="D68" s="36">
        <f>IF(B67&lt;'Умови та класичний графік'!$J$13,C67,"")</f>
        <v>45139</v>
      </c>
      <c r="E68" s="26">
        <f>IF(B67&lt;'Умови та класичний графік'!$J$13,C68-1,"")</f>
        <v>45169</v>
      </c>
      <c r="F68" s="37">
        <f>IF(B67&lt;'Умови та класичний графік'!$J$13,E68-D68+1,"")</f>
        <v>31</v>
      </c>
      <c r="G68" s="99">
        <f>IF(B67&lt;'Умови та класичний графік'!$J$13,J68+K68+L68,"")</f>
        <v>32348.703522504882</v>
      </c>
      <c r="H68" s="100"/>
      <c r="I68" s="32">
        <f>IF(B67&lt;'Умови та класичний графік'!$J$13,I67-J68,"")</f>
        <v>835714.28571428522</v>
      </c>
      <c r="J68" s="32">
        <f>IF(B67&lt;'Умови та класичний графік'!$J$13,J67,"")</f>
        <v>16071.428571428571</v>
      </c>
      <c r="K68" s="32">
        <f>IF(B67&lt;'Умови та класичний графік'!$J$13,((I67*'Умови та класичний графік'!$J$22)/365)*F68,"")</f>
        <v>16277.27495107631</v>
      </c>
      <c r="L68" s="30">
        <f>IF(B67&lt;'Умови та класичний графік'!$J$13,SUM(M68:V68),"")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графік'!$J$13,XIRR($G$36:G68,$C$36:C68,0),"")</f>
        <v>8.2752202148437495E-2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графік'!$J$13,EDATE(C68,1),"")</f>
        <v>45200</v>
      </c>
      <c r="D69" s="36">
        <f>IF(B68&lt;'Умови та класичний графік'!$J$13,C68,"")</f>
        <v>45170</v>
      </c>
      <c r="E69" s="26">
        <f>IF(B68&lt;'Умови та класичний графік'!$J$13,C69-1,"")</f>
        <v>45199</v>
      </c>
      <c r="F69" s="37">
        <f>IF(B68&lt;'Умови та класичний графік'!$J$13,E69-D69+1,"")</f>
        <v>30</v>
      </c>
      <c r="G69" s="99">
        <f>IF(B68&lt;'Умови та класичний графік'!$J$13,J69+K69+L69,"")</f>
        <v>31526.418786692753</v>
      </c>
      <c r="H69" s="100"/>
      <c r="I69" s="32">
        <f>IF(B68&lt;'Умови та класичний графік'!$J$13,I68-J69,"")</f>
        <v>819642.85714285669</v>
      </c>
      <c r="J69" s="32">
        <f>IF(B68&lt;'Умови та класичний графік'!$J$13,J68,"")</f>
        <v>16071.428571428571</v>
      </c>
      <c r="K69" s="32">
        <f>IF(B68&lt;'Умови та класичний графік'!$J$13,((I68*'Умови та класичний графік'!$J$22)/365)*F69,"")</f>
        <v>15454.990215264181</v>
      </c>
      <c r="L69" s="30">
        <f>IF(B68&lt;'Умови та класичний графік'!$J$13,SUM(M69:V69),"")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графік'!$J$13,XIRR($G$36:G69,$C$36:C69,0),"")</f>
        <v>9.9610209960937515E-2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графік'!$J$13,EDATE(C69,1),"")</f>
        <v>45231</v>
      </c>
      <c r="D70" s="36">
        <f>IF(B69&lt;'Умови та класичний графік'!$J$13,C69,"")</f>
        <v>45200</v>
      </c>
      <c r="E70" s="26">
        <f>IF(B69&lt;'Умови та класичний графік'!$J$13,C70-1,"")</f>
        <v>45230</v>
      </c>
      <c r="F70" s="37">
        <f>IF(B69&lt;'Умови та класичний графік'!$J$13,E70-D70+1,"")</f>
        <v>31</v>
      </c>
      <c r="G70" s="99">
        <f>IF(B69&lt;'Умови та класичний графік'!$J$13,J70+K70+L70,"")</f>
        <v>31734.466731898228</v>
      </c>
      <c r="H70" s="100"/>
      <c r="I70" s="32">
        <f>IF(B69&lt;'Умови та класичний графік'!$J$13,I69-J70,"")</f>
        <v>803571.42857142817</v>
      </c>
      <c r="J70" s="32">
        <f>IF(B69&lt;'Умови та класичний графік'!$J$13,J69,"")</f>
        <v>16071.428571428571</v>
      </c>
      <c r="K70" s="32">
        <f>IF(B69&lt;'Умови та класичний графік'!$J$13,((I69*'Умови та класичний графік'!$J$22)/365)*F70,"")</f>
        <v>15663.038160469658</v>
      </c>
      <c r="L70" s="30">
        <f>IF(B69&lt;'Умови та класичний графік'!$J$13,SUM(M70:V70),"")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графік'!$J$13,XIRR($G$36:G70,$C$36:C70,0),"")</f>
        <v>0.11574437011718754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графік'!$J$13,EDATE(C70,1),"")</f>
        <v>45261</v>
      </c>
      <c r="D71" s="36">
        <f>IF(B70&lt;'Умови та класичний графік'!$J$13,C70,"")</f>
        <v>45231</v>
      </c>
      <c r="E71" s="26">
        <f>IF(B70&lt;'Умови та класичний графік'!$J$13,C71-1,"")</f>
        <v>45260</v>
      </c>
      <c r="F71" s="37">
        <f>IF(B70&lt;'Умови та класичний графік'!$J$13,E71-D71+1,"")</f>
        <v>30</v>
      </c>
      <c r="G71" s="99">
        <f>IF(B70&lt;'Умови та класичний графік'!$J$13,J71+K71+L71,"")</f>
        <v>30931.996086105668</v>
      </c>
      <c r="H71" s="100"/>
      <c r="I71" s="32">
        <f>IF(B70&lt;'Умови та класичний графік'!$J$13,I70-J71,"")</f>
        <v>787499.99999999965</v>
      </c>
      <c r="J71" s="32">
        <f>IF(B70&lt;'Умови та класичний графік'!$J$13,J70,"")</f>
        <v>16071.428571428571</v>
      </c>
      <c r="K71" s="32">
        <f>IF(B70&lt;'Умови та класичний графік'!$J$13,((I70*'Умови та класичний графік'!$J$22)/365)*F71,"")</f>
        <v>14860.567514677097</v>
      </c>
      <c r="L71" s="30">
        <f>IF(B70&lt;'Умови та класичний графік'!$J$13,SUM(M71:V71),"")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графік'!$J$13,XIRR($G$36:G71,$C$36:C71,0),"")</f>
        <v>0.13070091308593751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графік'!$J$13,EDATE(C71,1),"")</f>
        <v>45292</v>
      </c>
      <c r="D72" s="36">
        <f>IF(B71&lt;'Умови та класичний графік'!$J$13,C71,"")</f>
        <v>45261</v>
      </c>
      <c r="E72" s="26">
        <f>IF(B71&lt;'Умови та класичний графік'!$J$13,C72-1,"")</f>
        <v>45291</v>
      </c>
      <c r="F72" s="37">
        <f>IF(B71&lt;'Умови та класичний графік'!$J$13,E72-D72+1,"")</f>
        <v>31</v>
      </c>
      <c r="G72" s="99">
        <f>IF(B71&lt;'Умови та класичний графік'!$J$13,J72+K72+L72,"")</f>
        <v>124734.51565557728</v>
      </c>
      <c r="H72" s="100"/>
      <c r="I72" s="32">
        <f>IF(B71&lt;'Умови та класичний графік'!$J$13,I71-J72,"")</f>
        <v>771428.57142857113</v>
      </c>
      <c r="J72" s="32">
        <f>IF(B71&lt;'Умови та класичний графік'!$J$13,J71,"")</f>
        <v>16071.428571428571</v>
      </c>
      <c r="K72" s="32">
        <f>IF(B71&lt;'Умови та класичний графік'!$J$13,((I71*'Умови та класичний графік'!$J$22)/365)*F72,"")</f>
        <v>15048.801369863007</v>
      </c>
      <c r="L72" s="30">
        <f>IF(B71&lt;'Умови та класичний графік'!$J$13,SUM(M72:V72),"")</f>
        <v>93614.28571428571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графік'!$J$13,('Умови та класичний графік'!$J$14*$N$19)+(I72*$N$20)+$J$21,"")</f>
        <v>93614.28571428571</v>
      </c>
      <c r="V72" s="41"/>
      <c r="W72" s="43">
        <f>IF(B71&lt;'Умови та класичний графік'!$J$13,XIRR($G$36:G72,$C$36:C72,0),"")</f>
        <v>0.18499159667968756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графік'!$J$13,EDATE(C72,1),"")</f>
        <v>45323</v>
      </c>
      <c r="D73" s="36">
        <f>IF(B72&lt;'Умови та класичний графік'!$J$13,C72,"")</f>
        <v>45292</v>
      </c>
      <c r="E73" s="26">
        <f>IF(B72&lt;'Умови та класичний графік'!$J$13,C73-1,"")</f>
        <v>45322</v>
      </c>
      <c r="F73" s="37">
        <f>IF(B72&lt;'Умови та класичний графік'!$J$13,E73-D73+1,"")</f>
        <v>31</v>
      </c>
      <c r="G73" s="99">
        <f>IF(B72&lt;'Умови та класичний графік'!$J$13,J73+K73+L73,"")</f>
        <v>30813.111545988253</v>
      </c>
      <c r="H73" s="100"/>
      <c r="I73" s="32">
        <f>IF(B72&lt;'Умови та класичний графік'!$J$13,I72-J73,"")</f>
        <v>755357.14285714261</v>
      </c>
      <c r="J73" s="32">
        <f>IF(B72&lt;'Умови та класичний графік'!$J$13,J72,"")</f>
        <v>16071.428571428571</v>
      </c>
      <c r="K73" s="32">
        <f>IF(B72&lt;'Умови та класичний графік'!$J$13,((I72*'Умови та класичний графік'!$J$22)/365)*F73,"")</f>
        <v>14741.682974559682</v>
      </c>
      <c r="L73" s="30">
        <f>IF(B72&lt;'Умови та класичний графік'!$J$13,SUM(M73:V73),"")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графік'!$J$13,XIRR($G$36:G73,$C$36:C73,0),"")</f>
        <v>0.1971067041015625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графік'!$J$13,EDATE(C73,1),"")</f>
        <v>45352</v>
      </c>
      <c r="D74" s="36">
        <f>IF(B73&lt;'Умови та класичний графік'!$J$13,C73,"")</f>
        <v>45323</v>
      </c>
      <c r="E74" s="26">
        <f>IF(B73&lt;'Умови та класичний графік'!$J$13,C74-1,"")</f>
        <v>45351</v>
      </c>
      <c r="F74" s="37">
        <f>IF(B73&lt;'Умови та класичний графік'!$J$13,E74-D74+1,"")</f>
        <v>29</v>
      </c>
      <c r="G74" s="99">
        <f>IF(B73&lt;'Умови та класичний графік'!$J$13,J74+K74+L74,"")</f>
        <v>29574.730919765163</v>
      </c>
      <c r="H74" s="100"/>
      <c r="I74" s="32">
        <f>IF(B73&lt;'Умови та класичний графік'!$J$13,I73-J74,"")</f>
        <v>739285.71428571409</v>
      </c>
      <c r="J74" s="32">
        <f>IF(B73&lt;'Умови та класичний графік'!$J$13,J73,"")</f>
        <v>16071.428571428571</v>
      </c>
      <c r="K74" s="32">
        <f>IF(B73&lt;'Умови та класичний графік'!$J$13,((I73*'Умови та класичний графік'!$J$22)/365)*F74,"")</f>
        <v>13503.302348336592</v>
      </c>
      <c r="L74" s="30">
        <f>IF(B73&lt;'Умови та класичний графік'!$J$13,SUM(M74:V74),"")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графік'!$J$13,XIRR($G$36:G74,$C$36:C74,0),"")</f>
        <v>0.20821301269531256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графік'!$J$13,EDATE(C74,1),"")</f>
        <v>45383</v>
      </c>
      <c r="D75" s="36">
        <f>IF(B74&lt;'Умови та класичний графік'!$J$13,C74,"")</f>
        <v>45352</v>
      </c>
      <c r="E75" s="26">
        <f>IF(B74&lt;'Умови та класичний графік'!$J$13,C75-1,"")</f>
        <v>45382</v>
      </c>
      <c r="F75" s="37">
        <f>IF(B74&lt;'Умови та класичний графік'!$J$13,E75-D75+1,"")</f>
        <v>31</v>
      </c>
      <c r="G75" s="99">
        <f>IF(B74&lt;'Умови та класичний графік'!$J$13,J75+K75+L75,"")</f>
        <v>30198.874755381599</v>
      </c>
      <c r="H75" s="100"/>
      <c r="I75" s="32">
        <f>IF(B74&lt;'Умови та класичний графік'!$J$13,I74-J75,"")</f>
        <v>723214.28571428556</v>
      </c>
      <c r="J75" s="32">
        <f>IF(B74&lt;'Умови та класичний графік'!$J$13,J74,"")</f>
        <v>16071.428571428571</v>
      </c>
      <c r="K75" s="32">
        <f>IF(B74&lt;'Умови та класичний графік'!$J$13,((I74*'Умови та класичний графік'!$J$22)/365)*F75,"")</f>
        <v>14127.44618395303</v>
      </c>
      <c r="L75" s="30">
        <f>IF(B74&lt;'Умови та класичний графік'!$J$13,SUM(M75:V75),"")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графік'!$J$13,XIRR($G$36:G75,$C$36:C75,0),"")</f>
        <v>0.21903408691406251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графік'!$J$13,EDATE(C75,1),"")</f>
        <v>45413</v>
      </c>
      <c r="D76" s="36">
        <f>IF(B75&lt;'Умови та класичний графік'!$J$13,C75,"")</f>
        <v>45383</v>
      </c>
      <c r="E76" s="26">
        <f>IF(B75&lt;'Умови та класичний графік'!$J$13,C76-1,"")</f>
        <v>45412</v>
      </c>
      <c r="F76" s="37">
        <f>IF(B75&lt;'Умови та класичний графік'!$J$13,E76-D76+1,"")</f>
        <v>30</v>
      </c>
      <c r="G76" s="99">
        <f>IF(B75&lt;'Умови та класичний графік'!$J$13,J76+K76+L76,"")</f>
        <v>29445.939334637962</v>
      </c>
      <c r="H76" s="100"/>
      <c r="I76" s="32">
        <f>IF(B75&lt;'Умови та класичний графік'!$J$13,I75-J76,"")</f>
        <v>707142.85714285704</v>
      </c>
      <c r="J76" s="32">
        <f>IF(B75&lt;'Умови та класичний графік'!$J$13,J75,"")</f>
        <v>16071.428571428571</v>
      </c>
      <c r="K76" s="32">
        <f>IF(B75&lt;'Умови та класичний графік'!$J$13,((I75*'Умови та класичний графік'!$J$22)/365)*F76,"")</f>
        <v>13374.510763209391</v>
      </c>
      <c r="L76" s="30">
        <f>IF(B75&lt;'Умови та класичний графік'!$J$13,SUM(M76:V76),"")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графік'!$J$13,XIRR($G$36:G76,$C$36:C76,0),"")</f>
        <v>0.22910528808593755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графік'!$J$13,EDATE(C76,1),"")</f>
        <v>45444</v>
      </c>
      <c r="D77" s="36">
        <f>IF(B76&lt;'Умови та класичний графік'!$J$13,C76,"")</f>
        <v>45413</v>
      </c>
      <c r="E77" s="26">
        <f>IF(B76&lt;'Умови та класичний графік'!$J$13,C77-1,"")</f>
        <v>45443</v>
      </c>
      <c r="F77" s="37">
        <f>IF(B76&lt;'Умови та класичний графік'!$J$13,E77-D77+1,"")</f>
        <v>31</v>
      </c>
      <c r="G77" s="99">
        <f>IF(B76&lt;'Умови та класичний графік'!$J$13,J77+K77+L77,"")</f>
        <v>29584.637964774949</v>
      </c>
      <c r="H77" s="100"/>
      <c r="I77" s="32">
        <f>IF(B76&lt;'Умови та класичний графік'!$J$13,I76-J77,"")</f>
        <v>691071.42857142852</v>
      </c>
      <c r="J77" s="32">
        <f>IF(B76&lt;'Умови та класичний графік'!$J$13,J76,"")</f>
        <v>16071.428571428571</v>
      </c>
      <c r="K77" s="32">
        <f>IF(B76&lt;'Умови та класичний графік'!$J$13,((I76*'Умови та класичний графік'!$J$22)/365)*F77,"")</f>
        <v>13513.209393346378</v>
      </c>
      <c r="L77" s="30">
        <f>IF(B76&lt;'Умови та класичний графік'!$J$13,SUM(M77:V77),"")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графік'!$J$13,XIRR($G$36:G77,$C$36:C77,0),"")</f>
        <v>0.23875938964843751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графік'!$J$13,EDATE(C77,1),"")</f>
        <v>45474</v>
      </c>
      <c r="D78" s="36">
        <f>IF(B77&lt;'Умови та класичний графік'!$J$13,C77,"")</f>
        <v>45444</v>
      </c>
      <c r="E78" s="26">
        <f>IF(B77&lt;'Умови та класичний графік'!$J$13,C78-1,"")</f>
        <v>45473</v>
      </c>
      <c r="F78" s="37">
        <f>IF(B77&lt;'Умови та класичний графік'!$J$13,E78-D78+1,"")</f>
        <v>30</v>
      </c>
      <c r="G78" s="99">
        <f>IF(B77&lt;'Умови та класичний графік'!$J$13,J78+K78+L78,"")</f>
        <v>28851.51663405088</v>
      </c>
      <c r="H78" s="100"/>
      <c r="I78" s="32">
        <f>IF(B77&lt;'Умови та класичний графік'!$J$13,I77-J78,"")</f>
        <v>675000</v>
      </c>
      <c r="J78" s="32">
        <f>IF(B77&lt;'Умови та класичний графік'!$J$13,J77,"")</f>
        <v>16071.428571428571</v>
      </c>
      <c r="K78" s="32">
        <f>IF(B77&lt;'Умови та класичний графік'!$J$13,((I77*'Умови та класичний графік'!$J$22)/365)*F78,"")</f>
        <v>12780.088062622308</v>
      </c>
      <c r="L78" s="30">
        <f>IF(B77&lt;'Умови та класичний графік'!$J$13,SUM(M78:V78),"")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графік'!$J$13,XIRR($G$36:G78,$C$36:C78,0),"")</f>
        <v>0.24774861816406252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графік'!$J$13,EDATE(C78,1),"")</f>
        <v>45505</v>
      </c>
      <c r="D79" s="36">
        <f>IF(B78&lt;'Умови та класичний графік'!$J$13,C78,"")</f>
        <v>45474</v>
      </c>
      <c r="E79" s="26">
        <f>IF(B78&lt;'Умови та класичний графік'!$J$13,C79-1,"")</f>
        <v>45504</v>
      </c>
      <c r="F79" s="37">
        <f>IF(B78&lt;'Умови та класичний графік'!$J$13,E79-D79+1,"")</f>
        <v>31</v>
      </c>
      <c r="G79" s="99">
        <f>IF(B78&lt;'Умови та класичний графік'!$J$13,J79+K79+L79,"")</f>
        <v>28970.401174168299</v>
      </c>
      <c r="H79" s="100"/>
      <c r="I79" s="32">
        <f>IF(B78&lt;'Умови та класичний графік'!$J$13,I78-J79,"")</f>
        <v>658928.57142857148</v>
      </c>
      <c r="J79" s="32">
        <f>IF(B78&lt;'Умови та класичний графік'!$J$13,J78,"")</f>
        <v>16071.428571428571</v>
      </c>
      <c r="K79" s="32">
        <f>IF(B78&lt;'Умови та класичний графік'!$J$13,((I78*'Умови та класичний графік'!$J$22)/365)*F79,"")</f>
        <v>12898.972602739726</v>
      </c>
      <c r="L79" s="30">
        <f>IF(B78&lt;'Умови та класичний графік'!$J$13,SUM(M79:V79),"")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графік'!$J$13,XIRR($G$36:G79,$C$36:C79,0),"")</f>
        <v>0.25636349121093738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графік'!$J$13,EDATE(C79,1),"")</f>
        <v>45536</v>
      </c>
      <c r="D80" s="36">
        <f>IF(B79&lt;'Умови та класичний графік'!$J$13,C79,"")</f>
        <v>45505</v>
      </c>
      <c r="E80" s="26">
        <f>IF(B79&lt;'Умови та класичний графік'!$J$13,C80-1,"")</f>
        <v>45535</v>
      </c>
      <c r="F80" s="37">
        <f>IF(B79&lt;'Умови та класичний графік'!$J$13,E80-D80+1,"")</f>
        <v>31</v>
      </c>
      <c r="G80" s="99">
        <f>IF(B79&lt;'Умови та класичний графік'!$J$13,J80+K80+L80,"")</f>
        <v>28663.28277886497</v>
      </c>
      <c r="H80" s="100"/>
      <c r="I80" s="32">
        <f>IF(B79&lt;'Умови та класичний графік'!$J$13,I79-J80,"")</f>
        <v>642857.14285714296</v>
      </c>
      <c r="J80" s="32">
        <f>IF(B79&lt;'Умови та класичний графік'!$J$13,J79,"")</f>
        <v>16071.428571428571</v>
      </c>
      <c r="K80" s="32">
        <f>IF(B79&lt;'Умови та класичний графік'!$J$13,((I79*'Умови та класичний графік'!$J$22)/365)*F80,"")</f>
        <v>12591.8542074364</v>
      </c>
      <c r="L80" s="30">
        <f>IF(B79&lt;'Умови та класичний графік'!$J$13,SUM(M80:V80),"")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графік'!$J$13,XIRR($G$36:G80,$C$36:C80,0),"")</f>
        <v>0.26449872558593746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графік'!$J$13,EDATE(C80,1),"")</f>
        <v>45566</v>
      </c>
      <c r="D81" s="36">
        <f>IF(B80&lt;'Умови та класичний графік'!$J$13,C80,"")</f>
        <v>45536</v>
      </c>
      <c r="E81" s="26">
        <f>IF(B80&lt;'Умови та класичний графік'!$J$13,C81-1,"")</f>
        <v>45565</v>
      </c>
      <c r="F81" s="37">
        <f>IF(B80&lt;'Умови та класичний графік'!$J$13,E81-D81+1,"")</f>
        <v>30</v>
      </c>
      <c r="G81" s="99">
        <f>IF(B80&lt;'Умови та класичний графік'!$J$13,J81+K81+L81,"")</f>
        <v>27959.882583170256</v>
      </c>
      <c r="H81" s="100"/>
      <c r="I81" s="32">
        <f>IF(B80&lt;'Умови та класичний графік'!$J$13,I80-J81,"")</f>
        <v>626785.71428571444</v>
      </c>
      <c r="J81" s="32">
        <f>IF(B80&lt;'Умови та класичний графік'!$J$13,J80,"")</f>
        <v>16071.428571428571</v>
      </c>
      <c r="K81" s="32">
        <f>IF(B80&lt;'Умови та класичний графік'!$J$13,((I80*'Умови та класичний графік'!$J$22)/365)*F81,"")</f>
        <v>11888.454011741684</v>
      </c>
      <c r="L81" s="30">
        <f>IF(B80&lt;'Умови та класичний графік'!$J$13,SUM(M81:V81),"")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графік'!$J$13,XIRR($G$36:G81,$C$36:C81,0),"")</f>
        <v>0.2720810498046875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графік'!$J$13,EDATE(C81,1),"")</f>
        <v>45597</v>
      </c>
      <c r="D82" s="36">
        <f>IF(B81&lt;'Умови та класичний графік'!$J$13,C81,"")</f>
        <v>45566</v>
      </c>
      <c r="E82" s="26">
        <f>IF(B81&lt;'Умови та класичний графік'!$J$13,C82-1,"")</f>
        <v>45596</v>
      </c>
      <c r="F82" s="37">
        <f>IF(B81&lt;'Умови та класичний графік'!$J$13,E82-D82+1,"")</f>
        <v>31</v>
      </c>
      <c r="G82" s="99">
        <f>IF(B81&lt;'Умови та класичний графік'!$J$13,J82+K82+L82,"")</f>
        <v>28049.045988258316</v>
      </c>
      <c r="H82" s="100"/>
      <c r="I82" s="32">
        <f>IF(B81&lt;'Умови та класичний графік'!$J$13,I81-J82,"")</f>
        <v>610714.28571428591</v>
      </c>
      <c r="J82" s="32">
        <f>IF(B81&lt;'Умови та класичний графік'!$J$13,J81,"")</f>
        <v>16071.428571428571</v>
      </c>
      <c r="K82" s="32">
        <f>IF(B81&lt;'Умови та класичний графік'!$J$13,((I81*'Умови та класичний графік'!$J$22)/365)*F82,"")</f>
        <v>11977.617416829748</v>
      </c>
      <c r="L82" s="30">
        <f>IF(B81&lt;'Умови та класичний графік'!$J$13,SUM(M82:V82),"")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графік'!$J$13,XIRR($G$36:G82,$C$36:C82,0),"")</f>
        <v>0.27934634277343751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графік'!$J$13,EDATE(C82,1),"")</f>
        <v>45627</v>
      </c>
      <c r="D83" s="36">
        <f>IF(B82&lt;'Умови та класичний графік'!$J$13,C82,"")</f>
        <v>45597</v>
      </c>
      <c r="E83" s="26">
        <f>IF(B82&lt;'Умови та класичний графік'!$J$13,C83-1,"")</f>
        <v>45626</v>
      </c>
      <c r="F83" s="37">
        <f>IF(B82&lt;'Умови та класичний графік'!$J$13,E83-D83+1,"")</f>
        <v>30</v>
      </c>
      <c r="G83" s="99">
        <f>IF(B82&lt;'Умови та класичний графік'!$J$13,J83+K83+L83,"")</f>
        <v>27365.459882583174</v>
      </c>
      <c r="H83" s="100"/>
      <c r="I83" s="32">
        <f>IF(B82&lt;'Умови та класичний графік'!$J$13,I82-J83,"")</f>
        <v>594642.85714285739</v>
      </c>
      <c r="J83" s="32">
        <f>IF(B82&lt;'Умови та класичний графік'!$J$13,J82,"")</f>
        <v>16071.428571428571</v>
      </c>
      <c r="K83" s="32">
        <f>IF(B82&lt;'Умови та класичний графік'!$J$13,((I82*'Умови та класичний графік'!$J$22)/365)*F83,"")</f>
        <v>11294.031311154604</v>
      </c>
      <c r="L83" s="30">
        <f>IF(B82&lt;'Умови та класичний графік'!$J$13,SUM(M83:V83),"")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графік'!$J$13,XIRR($G$36:G83,$C$36:C83,0),"")</f>
        <v>0.28612310058593737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графік'!$J$13,EDATE(C83,1),"")</f>
        <v>45658</v>
      </c>
      <c r="D84" s="36">
        <f>IF(B83&lt;'Умови та класичний графік'!$J$13,C83,"")</f>
        <v>45627</v>
      </c>
      <c r="E84" s="26">
        <f>IF(B83&lt;'Умови та класичний графік'!$J$13,C84-1,"")</f>
        <v>45657</v>
      </c>
      <c r="F84" s="37">
        <f>IF(B83&lt;'Умови та класичний графік'!$J$13,E84-D84+1,"")</f>
        <v>31</v>
      </c>
      <c r="G84" s="99">
        <f>IF(B83&lt;'Умови та класичний графік'!$J$13,J84+K84+L84,"")</f>
        <v>120470.52348336595</v>
      </c>
      <c r="H84" s="100"/>
      <c r="I84" s="32">
        <f>IF(B83&lt;'Умови та класичний графік'!$J$13,I83-J84,"")</f>
        <v>578571.42857142887</v>
      </c>
      <c r="J84" s="32">
        <f>IF(B83&lt;'Умови та класичний графік'!$J$13,J83,"")</f>
        <v>16071.428571428571</v>
      </c>
      <c r="K84" s="32">
        <f>IF(B83&lt;'Умови та класичний графік'!$J$13,((I83*'Умови та класичний графік'!$J$22)/365)*F84,"")</f>
        <v>11363.380626223097</v>
      </c>
      <c r="L84" s="30">
        <f>IF(B83&lt;'Умови та класичний графік'!$J$13,SUM(M84:V84),"")</f>
        <v>93035.71428571429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графік'!$J$13,('Умови та класичний графік'!$J$14*$N$19)+(I84*$N$20)+$J$21,"")</f>
        <v>93035.71428571429</v>
      </c>
      <c r="V84" s="41"/>
      <c r="W84" s="43">
        <f>IF(B83&lt;'Умови та класичний графік'!$J$13,XIRR($G$36:G84,$C$36:C84,0),"")</f>
        <v>0.31356896972656256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графік'!$J$13,EDATE(C84,1),"")</f>
        <v>45689</v>
      </c>
      <c r="D85" s="36">
        <f>IF(B84&lt;'Умови та класичний графік'!$J$13,C84,"")</f>
        <v>45658</v>
      </c>
      <c r="E85" s="26">
        <f>IF(B84&lt;'Умови та класичний графік'!$J$13,C85-1,"")</f>
        <v>45688</v>
      </c>
      <c r="F85" s="37">
        <f>IF(B84&lt;'Умови та класичний графік'!$J$13,E85-D85+1,"")</f>
        <v>31</v>
      </c>
      <c r="G85" s="99">
        <f>IF(B84&lt;'Умови та класичний графік'!$J$13,J85+K85+L85,"")</f>
        <v>27127.690802348341</v>
      </c>
      <c r="H85" s="100"/>
      <c r="I85" s="32">
        <f>IF(B84&lt;'Умови та класичний графік'!$J$13,I84-J85,"")</f>
        <v>562500.00000000035</v>
      </c>
      <c r="J85" s="32">
        <f>IF(B84&lt;'Умови та класичний графік'!$J$13,J84,"")</f>
        <v>16071.428571428571</v>
      </c>
      <c r="K85" s="32">
        <f>IF(B84&lt;'Умови та класичний графік'!$J$13,((I84*'Умови та класичний графік'!$J$22)/365)*F85,"")</f>
        <v>11056.26223091977</v>
      </c>
      <c r="L85" s="30">
        <f>IF(B84&lt;'Умови та класичний графік'!$J$13,SUM(M85:V85),"")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графік'!$J$13,XIRR($G$36:G85,$C$36:C85,0),"")</f>
        <v>0.3192630322265626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графік'!$J$13,EDATE(C85,1),"")</f>
        <v>45717</v>
      </c>
      <c r="D86" s="36">
        <f>IF(B85&lt;'Умови та класичний графік'!$J$13,C85,"")</f>
        <v>45689</v>
      </c>
      <c r="E86" s="26">
        <f>IF(B85&lt;'Умови та класичний графік'!$J$13,C86-1,"")</f>
        <v>45716</v>
      </c>
      <c r="F86" s="37">
        <f>IF(B85&lt;'Умови та класичний графік'!$J$13,E86-D86+1,"")</f>
        <v>28</v>
      </c>
      <c r="G86" s="99">
        <f>IF(B85&lt;'Умови та класичний графік'!$J$13,J86+K86+L86,"")</f>
        <v>25780.332681017619</v>
      </c>
      <c r="H86" s="100"/>
      <c r="I86" s="32">
        <f>IF(B85&lt;'Умови та класичний графік'!$J$13,I85-J86,"")</f>
        <v>546428.57142857183</v>
      </c>
      <c r="J86" s="32">
        <f>IF(B85&lt;'Умови та класичний графік'!$J$13,J85,"")</f>
        <v>16071.428571428571</v>
      </c>
      <c r="K86" s="32">
        <f>IF(B85&lt;'Умови та класичний графік'!$J$13,((I85*'Умови та класичний графік'!$J$22)/365)*F86,"")</f>
        <v>9708.9041095890479</v>
      </c>
      <c r="L86" s="30">
        <f>IF(B85&lt;'Умови та класичний графік'!$J$13,SUM(M86:V86),"")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графік'!$J$13,XIRR($G$36:G86,$C$36:C86,0),"")</f>
        <v>0.32445609863281266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графік'!$J$13,EDATE(C86,1),"")</f>
        <v>45748</v>
      </c>
      <c r="D87" s="36">
        <f>IF(B86&lt;'Умови та класичний графік'!$J$13,C86,"")</f>
        <v>45717</v>
      </c>
      <c r="E87" s="26">
        <f>IF(B86&lt;'Умови та класичний графік'!$J$13,C87-1,"")</f>
        <v>45747</v>
      </c>
      <c r="F87" s="37">
        <f>IF(B86&lt;'Умови та класичний графік'!$J$13,E87-D87+1,"")</f>
        <v>31</v>
      </c>
      <c r="G87" s="99">
        <f>IF(B86&lt;'Умови та класичний графік'!$J$13,J87+K87+L87,"")</f>
        <v>26513.454011741691</v>
      </c>
      <c r="H87" s="100"/>
      <c r="I87" s="32">
        <f>IF(B86&lt;'Умови та класичний графік'!$J$13,I86-J87,"")</f>
        <v>530357.14285714331</v>
      </c>
      <c r="J87" s="32">
        <f>IF(B86&lt;'Умови та класичний графік'!$J$13,J86,"")</f>
        <v>16071.428571428571</v>
      </c>
      <c r="K87" s="32">
        <f>IF(B86&lt;'Умови та класичний графік'!$J$13,((I86*'Умови та класичний графік'!$J$22)/365)*F87,"")</f>
        <v>10442.02544031312</v>
      </c>
      <c r="L87" s="30">
        <f>IF(B86&lt;'Умови та класичний графік'!$J$13,SUM(M87:V87),"")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графік'!$J$13,XIRR($G$36:G87,$C$36:C87,0),"")</f>
        <v>0.32957113769531254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графік'!$J$13,EDATE(C87,1),"")</f>
        <v>45778</v>
      </c>
      <c r="D88" s="36">
        <f>IF(B87&lt;'Умови та класичний графік'!$J$13,C87,"")</f>
        <v>45748</v>
      </c>
      <c r="E88" s="26">
        <f>IF(B87&lt;'Умови та класичний графік'!$J$13,C88-1,"")</f>
        <v>45777</v>
      </c>
      <c r="F88" s="37">
        <f>IF(B87&lt;'Умови та класичний графік'!$J$13,E88-D88+1,"")</f>
        <v>30</v>
      </c>
      <c r="G88" s="99">
        <f>IF(B87&lt;'Умови та класичний графік'!$J$13,J88+K88+L88,"")</f>
        <v>25879.403131115469</v>
      </c>
      <c r="H88" s="100"/>
      <c r="I88" s="32">
        <f>IF(B87&lt;'Умови та класичний графік'!$J$13,I87-J88,"")</f>
        <v>514285.71428571473</v>
      </c>
      <c r="J88" s="32">
        <f>IF(B87&lt;'Умови та класичний графік'!$J$13,J87,"")</f>
        <v>16071.428571428571</v>
      </c>
      <c r="K88" s="32">
        <f>IF(B87&lt;'Умови та класичний графік'!$J$13,((I87*'Умови та класичний графік'!$J$22)/365)*F88,"")</f>
        <v>9807.9745596868979</v>
      </c>
      <c r="L88" s="30">
        <f>IF(B87&lt;'Умови та класичний графік'!$J$13,SUM(M88:V88),"")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графік'!$J$13,XIRR($G$36:G88,$C$36:C88,0),"")</f>
        <v>0.33435650878906253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графік'!$J$13,EDATE(C88,1),"")</f>
        <v>45809</v>
      </c>
      <c r="D89" s="36">
        <f>IF(B88&lt;'Умови та класичний графік'!$J$13,C88,"")</f>
        <v>45778</v>
      </c>
      <c r="E89" s="26">
        <f>IF(B88&lt;'Умови та класичний графік'!$J$13,C89-1,"")</f>
        <v>45808</v>
      </c>
      <c r="F89" s="37">
        <f>IF(B88&lt;'Умови та класичний графік'!$J$13,E89-D89+1,"")</f>
        <v>31</v>
      </c>
      <c r="G89" s="99">
        <f>IF(B88&lt;'Умови та класичний графік'!$J$13,J89+K89+L89,"")</f>
        <v>25899.217221135037</v>
      </c>
      <c r="H89" s="100"/>
      <c r="I89" s="32">
        <f>IF(B88&lt;'Умови та класичний графік'!$J$13,I88-J89,"")</f>
        <v>498214.28571428615</v>
      </c>
      <c r="J89" s="32">
        <f>IF(B88&lt;'Умови та класичний графік'!$J$13,J88,"")</f>
        <v>16071.428571428571</v>
      </c>
      <c r="K89" s="32">
        <f>IF(B88&lt;'Умови та класичний графік'!$J$13,((I88*'Умови та класичний графік'!$J$22)/365)*F89,"")</f>
        <v>9827.7886497064665</v>
      </c>
      <c r="L89" s="30">
        <f>IF(B88&lt;'Умови та класичний графік'!$J$13,SUM(M89:V89),"")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графік'!$J$13,XIRR($G$36:G89,$C$36:C89,0),"")</f>
        <v>0.3389443115234374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графік'!$J$13,EDATE(C89,1),"")</f>
        <v>45839</v>
      </c>
      <c r="D90" s="36">
        <f>IF(B89&lt;'Умови та класичний графік'!$J$13,C89,"")</f>
        <v>45809</v>
      </c>
      <c r="E90" s="26">
        <f>IF(B89&lt;'Умови та класичний графік'!$J$13,C90-1,"")</f>
        <v>45838</v>
      </c>
      <c r="F90" s="37">
        <f>IF(B89&lt;'Умови та класичний графік'!$J$13,E90-D90+1,"")</f>
        <v>30</v>
      </c>
      <c r="G90" s="99">
        <f>IF(B89&lt;'Умови та класичний графік'!$J$13,J90+K90+L90,"")</f>
        <v>25284.980430528383</v>
      </c>
      <c r="H90" s="100"/>
      <c r="I90" s="32">
        <f>IF(B89&lt;'Умови та класичний графік'!$J$13,I89-J90,"")</f>
        <v>482142.85714285757</v>
      </c>
      <c r="J90" s="32">
        <f>IF(B89&lt;'Умови та класичний графік'!$J$13,J89,"")</f>
        <v>16071.428571428571</v>
      </c>
      <c r="K90" s="32">
        <f>IF(B89&lt;'Умови та класичний графік'!$J$13,((I89*'Умови та класичний графік'!$J$22)/365)*F90,"")</f>
        <v>9213.5518590998126</v>
      </c>
      <c r="L90" s="30">
        <f>IF(B89&lt;'Умови та класичний графік'!$J$13,SUM(M90:V90),"")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графік'!$J$13,XIRR($G$36:G90,$C$36:C90,0),"")</f>
        <v>0.34323965332031248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графік'!$J$13,EDATE(C90,1),"")</f>
        <v>45870</v>
      </c>
      <c r="D91" s="36">
        <f>IF(B90&lt;'Умови та класичний графік'!$J$13,C90,"")</f>
        <v>45839</v>
      </c>
      <c r="E91" s="26">
        <f>IF(B90&lt;'Умови та класичний графік'!$J$13,C91-1,"")</f>
        <v>45869</v>
      </c>
      <c r="F91" s="37">
        <f>IF(B90&lt;'Умови та класичний графік'!$J$13,E91-D91+1,"")</f>
        <v>31</v>
      </c>
      <c r="G91" s="99">
        <f>IF(B90&lt;'Умови та класичний графік'!$J$13,J91+K91+L91,"")</f>
        <v>25284.980430528383</v>
      </c>
      <c r="H91" s="100"/>
      <c r="I91" s="32">
        <f>IF(B90&lt;'Умови та класичний графік'!$J$13,I90-J91,"")</f>
        <v>466071.42857142899</v>
      </c>
      <c r="J91" s="32">
        <f>IF(B90&lt;'Умови та класичний графік'!$J$13,J90,"")</f>
        <v>16071.428571428571</v>
      </c>
      <c r="K91" s="32">
        <f>IF(B90&lt;'Умови та класичний графік'!$J$13,((I90*'Умови та класичний графік'!$J$22)/365)*F91,"")</f>
        <v>9213.5518590998126</v>
      </c>
      <c r="L91" s="30">
        <f>IF(B90&lt;'Умови та класичний графік'!$J$13,SUM(M91:V91),"")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графік'!$J$13,XIRR($G$36:G91,$C$36:C91,0),"")</f>
        <v>0.34735673339843764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графік'!$J$13,EDATE(C91,1),"")</f>
        <v>45901</v>
      </c>
      <c r="D92" s="36">
        <f>IF(B91&lt;'Умови та класичний графік'!$J$13,C91,"")</f>
        <v>45870</v>
      </c>
      <c r="E92" s="26">
        <f>IF(B91&lt;'Умови та класичний графік'!$J$13,C92-1,"")</f>
        <v>45900</v>
      </c>
      <c r="F92" s="37">
        <f>IF(B91&lt;'Умови та класичний графік'!$J$13,E92-D92+1,"")</f>
        <v>31</v>
      </c>
      <c r="G92" s="99">
        <f>IF(B91&lt;'Умови та класичний графік'!$J$13,J92+K92+L92,"")</f>
        <v>24977.862035225055</v>
      </c>
      <c r="H92" s="100"/>
      <c r="I92" s="32">
        <f>IF(B91&lt;'Умови та класичний графік'!$J$13,I91-J92,"")</f>
        <v>450000.00000000041</v>
      </c>
      <c r="J92" s="32">
        <f>IF(B91&lt;'Умови та класичний графік'!$J$13,J91,"")</f>
        <v>16071.428571428571</v>
      </c>
      <c r="K92" s="32">
        <f>IF(B91&lt;'Умови та класичний графік'!$J$13,((I91*'Умови та класичний графік'!$J$22)/365)*F92,"")</f>
        <v>8906.4334637964839</v>
      </c>
      <c r="L92" s="30">
        <f>IF(B91&lt;'Умови та класичний графік'!$J$13,SUM(M92:V92),"")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графік'!$J$13,XIRR($G$36:G92,$C$36:C92,0),"")</f>
        <v>0.35125570800781247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графік'!$J$13,EDATE(C92,1),"")</f>
        <v>45931</v>
      </c>
      <c r="D93" s="36">
        <f>IF(B92&lt;'Умови та класичний графік'!$J$13,C92,"")</f>
        <v>45901</v>
      </c>
      <c r="E93" s="26">
        <f>IF(B92&lt;'Умови та класичний графік'!$J$13,C93-1,"")</f>
        <v>45930</v>
      </c>
      <c r="F93" s="37">
        <f>IF(B92&lt;'Умови та класичний графік'!$J$13,E93-D93+1,"")</f>
        <v>30</v>
      </c>
      <c r="G93" s="99">
        <f>IF(B92&lt;'Умови та класичний графік'!$J$13,J93+K93+L93,"")</f>
        <v>24393.346379647755</v>
      </c>
      <c r="H93" s="100"/>
      <c r="I93" s="32">
        <f>IF(B92&lt;'Умови та класичний графік'!$J$13,I92-J93,"")</f>
        <v>433928.57142857183</v>
      </c>
      <c r="J93" s="32">
        <f>IF(B92&lt;'Умови та класичний графік'!$J$13,J92,"")</f>
        <v>16071.428571428571</v>
      </c>
      <c r="K93" s="32">
        <f>IF(B92&lt;'Умови та класичний графік'!$J$13,((I92*'Умови та класичний графік'!$J$22)/365)*F93,"")</f>
        <v>8321.9178082191847</v>
      </c>
      <c r="L93" s="30">
        <f>IF(B92&lt;'Умови та класичний графік'!$J$13,SUM(M93:V93),"")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графік'!$J$13,XIRR($G$36:G93,$C$36:C93,0),"")</f>
        <v>0.35491043457031257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графік'!$J$13,EDATE(C93,1),"")</f>
        <v>45962</v>
      </c>
      <c r="D94" s="36">
        <f>IF(B93&lt;'Умови та класичний графік'!$J$13,C93,"")</f>
        <v>45931</v>
      </c>
      <c r="E94" s="26">
        <f>IF(B93&lt;'Умови та класичний графік'!$J$13,C94-1,"")</f>
        <v>45961</v>
      </c>
      <c r="F94" s="37">
        <f>IF(B93&lt;'Умови та класичний графік'!$J$13,E94-D94+1,"")</f>
        <v>31</v>
      </c>
      <c r="G94" s="99">
        <f>IF(B93&lt;'Умови та класичний графік'!$J$13,J94+K94+L94,"")</f>
        <v>24363.625244618401</v>
      </c>
      <c r="H94" s="100"/>
      <c r="I94" s="32">
        <f>IF(B93&lt;'Умови та класичний графік'!$J$13,I93-J94,"")</f>
        <v>417857.14285714325</v>
      </c>
      <c r="J94" s="32">
        <f>IF(B93&lt;'Умови та класичний графік'!$J$13,J93,"")</f>
        <v>16071.428571428571</v>
      </c>
      <c r="K94" s="32">
        <f>IF(B93&lt;'Умови та класичний графік'!$J$13,((I93*'Умови та класичний графік'!$J$22)/365)*F94,"")</f>
        <v>8292.1966731898319</v>
      </c>
      <c r="L94" s="30">
        <f>IF(B93&lt;'Умови та класичний графік'!$J$13,SUM(M94:V94),"")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графік'!$J$13,XIRR($G$36:G94,$C$36:C94,0),"")</f>
        <v>0.35841215332031251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графік'!$J$13,EDATE(C94,1),"")</f>
        <v>45992</v>
      </c>
      <c r="D95" s="36">
        <f>IF(B94&lt;'Умови та класичний графік'!$J$13,C94,"")</f>
        <v>45962</v>
      </c>
      <c r="E95" s="26">
        <f>IF(B94&lt;'Умови та класичний графік'!$J$13,C95-1,"")</f>
        <v>45991</v>
      </c>
      <c r="F95" s="37">
        <f>IF(B94&lt;'Умови та класичний графік'!$J$13,E95-D95+1,"")</f>
        <v>30</v>
      </c>
      <c r="G95" s="99">
        <f>IF(B94&lt;'Умови та класичний графік'!$J$13,J95+K95+L95,"")</f>
        <v>23798.923679060674</v>
      </c>
      <c r="H95" s="100"/>
      <c r="I95" s="32">
        <f>IF(B94&lt;'Умови та класичний графік'!$J$13,I94-J95,"")</f>
        <v>401785.71428571467</v>
      </c>
      <c r="J95" s="32">
        <f>IF(B94&lt;'Умови та класичний графік'!$J$13,J94,"")</f>
        <v>16071.428571428571</v>
      </c>
      <c r="K95" s="32">
        <f>IF(B94&lt;'Умови та класичний графік'!$J$13,((I94*'Умови та класичний графік'!$J$22)/365)*F95,"")</f>
        <v>7727.4951076321022</v>
      </c>
      <c r="L95" s="30">
        <f>IF(B94&lt;'Умови та класичний графік'!$J$13,SUM(M95:V95),"")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графік'!$J$13,XIRR($G$36:G95,$C$36:C95,0),"")</f>
        <v>0.36169716308593747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графік'!$J$13,EDATE(C95,1),"")</f>
        <v>46023</v>
      </c>
      <c r="D96" s="36">
        <f>IF(B95&lt;'Умови та класичний графік'!$J$13,C95,"")</f>
        <v>45992</v>
      </c>
      <c r="E96" s="26">
        <f>IF(B95&lt;'Умови та класичний графік'!$J$13,C96-1,"")</f>
        <v>46022</v>
      </c>
      <c r="F96" s="37">
        <f>IF(B95&lt;'Умови та класичний графік'!$J$13,E96-D96+1,"")</f>
        <v>31</v>
      </c>
      <c r="G96" s="99">
        <f>IF(B95&lt;'Умови та класичний графік'!$J$13,J96+K96+L96,"")</f>
        <v>116206.5313111546</v>
      </c>
      <c r="H96" s="100"/>
      <c r="I96" s="32">
        <f>IF(B95&lt;'Умови та класичний графік'!$J$13,I95-J96,"")</f>
        <v>385714.28571428609</v>
      </c>
      <c r="J96" s="32">
        <f>IF(B95&lt;'Умови та класичний графік'!$J$13,J95,"")</f>
        <v>16071.428571428571</v>
      </c>
      <c r="K96" s="32">
        <f>IF(B95&lt;'Умови та класичний графік'!$J$13,((I95*'Умови та класичний графік'!$J$22)/365)*F96,"")</f>
        <v>7677.9598825831772</v>
      </c>
      <c r="L96" s="30">
        <f>IF(B95&lt;'Умови та класичний графік'!$J$13,SUM(M96:V96),"")</f>
        <v>92457.142857142855</v>
      </c>
      <c r="M96" s="38"/>
      <c r="N96" s="39"/>
      <c r="O96" s="39"/>
      <c r="P96" s="32"/>
      <c r="Q96" s="40"/>
      <c r="R96" s="40"/>
      <c r="S96" s="41"/>
      <c r="T96" s="41"/>
      <c r="U96" s="33">
        <f>IF(B95&lt;'Умови та класичний графік'!$J$13,('Умови та класичний графік'!$J$14*$N$19)+(I96*$N$20)+$J$21,"")</f>
        <v>92457.142857142855</v>
      </c>
      <c r="V96" s="41"/>
      <c r="W96" s="43">
        <f>IF(B95&lt;'Умови та класичний графік'!$J$13,XIRR($G$36:G96,$C$36:C96,0),"")</f>
        <v>0.37667691894531263</v>
      </c>
      <c r="X96" s="42"/>
      <c r="Y96" s="35"/>
    </row>
    <row r="97" spans="2:25" x14ac:dyDescent="0.2">
      <c r="B97" s="25">
        <v>61</v>
      </c>
      <c r="C97" s="36">
        <f>IF(B96&lt;'Умови та класичний графік'!$J$13,EDATE(C96,1),"")</f>
        <v>46054</v>
      </c>
      <c r="D97" s="36">
        <f>IF(B96&lt;'Умови та класичний графік'!$J$13,C96,"")</f>
        <v>46023</v>
      </c>
      <c r="E97" s="26">
        <f>IF(B96&lt;'Умови та класичний графік'!$J$13,C97-1,"")</f>
        <v>46053</v>
      </c>
      <c r="F97" s="37">
        <f>IF(B96&lt;'Умови та класичний графік'!$J$13,E97-D97+1,"")</f>
        <v>31</v>
      </c>
      <c r="G97" s="99">
        <f>IF(B96&lt;'Умови та класичний графік'!$J$13,J97+K97+L97,"")</f>
        <v>23442.270058708422</v>
      </c>
      <c r="H97" s="100"/>
      <c r="I97" s="32">
        <f>IF(B96&lt;'Умови та класичний графік'!$J$13,I96-J97,"")</f>
        <v>369642.85714285751</v>
      </c>
      <c r="J97" s="32">
        <f>IF(B96&lt;'Умови та класичний графік'!$J$13,J96,"")</f>
        <v>16071.428571428571</v>
      </c>
      <c r="K97" s="32">
        <f>IF(B96&lt;'Умови та класичний графік'!$J$13,((I96*'Умови та класичний графік'!$J$22)/365)*F97,"")</f>
        <v>7370.8414872798512</v>
      </c>
      <c r="L97" s="30">
        <f>IF(B96&lt;'Умови та класичний графік'!$J$13,SUM(M97:V97),"")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графік'!$J$13,XIRR($G$36:G97,$C$36:C97,0),"")</f>
        <v>0.37950088378906255</v>
      </c>
      <c r="X97" s="42"/>
      <c r="Y97" s="35"/>
    </row>
    <row r="98" spans="2:25" x14ac:dyDescent="0.2">
      <c r="B98" s="25">
        <v>62</v>
      </c>
      <c r="C98" s="36">
        <f>IF(B97&lt;'Умови та класичний графік'!$J$13,EDATE(C97,1),"")</f>
        <v>46082</v>
      </c>
      <c r="D98" s="36">
        <f>IF(B97&lt;'Умови та класичний графік'!$J$13,C97,"")</f>
        <v>46054</v>
      </c>
      <c r="E98" s="26">
        <f>IF(B97&lt;'Умови та класичний графік'!$J$13,C98-1,"")</f>
        <v>46081</v>
      </c>
      <c r="F98" s="37">
        <f>IF(B97&lt;'Умови та класичний графік'!$J$13,E98-D98+1,"")</f>
        <v>28</v>
      </c>
      <c r="G98" s="99">
        <f>IF(B97&lt;'Умови та класичний графік'!$J$13,J98+K98+L98,"")</f>
        <v>22451.565557729948</v>
      </c>
      <c r="H98" s="100"/>
      <c r="I98" s="32">
        <f>IF(B97&lt;'Умови та класичний графік'!$J$13,I97-J98,"")</f>
        <v>353571.42857142893</v>
      </c>
      <c r="J98" s="32">
        <f>IF(B97&lt;'Умови та класичний графік'!$J$13,J97,"")</f>
        <v>16071.428571428571</v>
      </c>
      <c r="K98" s="32">
        <f>IF(B97&lt;'Умови та класичний графік'!$J$13,((I97*'Умови та класичний графік'!$J$22)/365)*F98,"")</f>
        <v>6380.136986301377</v>
      </c>
      <c r="L98" s="30">
        <f>IF(B97&lt;'Умови та класичний графік'!$J$13,SUM(M98:V98),"")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графік'!$J$13,XIRR($G$36:G98,$C$36:C98,0),"")</f>
        <v>0.38210627441406264</v>
      </c>
      <c r="X98" s="42"/>
      <c r="Y98" s="35"/>
    </row>
    <row r="99" spans="2:25" x14ac:dyDescent="0.2">
      <c r="B99" s="25">
        <v>63</v>
      </c>
      <c r="C99" s="36">
        <f>IF(B98&lt;'Умови та класичний графік'!$J$13,EDATE(C98,1),"")</f>
        <v>46113</v>
      </c>
      <c r="D99" s="36">
        <f>IF(B98&lt;'Умови та класичний графік'!$J$13,C98,"")</f>
        <v>46082</v>
      </c>
      <c r="E99" s="26">
        <f>IF(B98&lt;'Умови та класичний графік'!$J$13,C99-1,"")</f>
        <v>46112</v>
      </c>
      <c r="F99" s="37">
        <f>IF(B98&lt;'Умови та класичний графік'!$J$13,E99-D99+1,"")</f>
        <v>31</v>
      </c>
      <c r="G99" s="99">
        <f>IF(B98&lt;'Умови та класичний графік'!$J$13,J99+K99+L99,"")</f>
        <v>22828.033268101768</v>
      </c>
      <c r="H99" s="100"/>
      <c r="I99" s="32">
        <f>IF(B98&lt;'Умови та класичний графік'!$J$13,I98-J99,"")</f>
        <v>337500.00000000035</v>
      </c>
      <c r="J99" s="32">
        <f>IF(B98&lt;'Умови та класичний графік'!$J$13,J98,"")</f>
        <v>16071.428571428571</v>
      </c>
      <c r="K99" s="32">
        <f>IF(B98&lt;'Умови та класичний графік'!$J$13,((I98*'Умови та класичний графік'!$J$22)/365)*F99,"")</f>
        <v>6756.6046966731965</v>
      </c>
      <c r="L99" s="30">
        <f>IF(B98&lt;'Умови та класичний графік'!$J$13,SUM(M99:V99),"")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графік'!$J$13,XIRR($G$36:G99,$C$36:C99,0),"")</f>
        <v>0.38465203613281262</v>
      </c>
      <c r="X99" s="42"/>
      <c r="Y99" s="35"/>
    </row>
    <row r="100" spans="2:25" x14ac:dyDescent="0.2">
      <c r="B100" s="25">
        <v>64</v>
      </c>
      <c r="C100" s="36">
        <f>IF(B99&lt;'Умови та класичний графік'!$J$13,EDATE(C99,1),"")</f>
        <v>46143</v>
      </c>
      <c r="D100" s="36">
        <f>IF(B99&lt;'Умови та класичний графік'!$J$13,C99,"")</f>
        <v>46113</v>
      </c>
      <c r="E100" s="26">
        <f>IF(B99&lt;'Умови та класичний графік'!$J$13,C100-1,"")</f>
        <v>46142</v>
      </c>
      <c r="F100" s="37">
        <f>IF(B99&lt;'Умови та класичний графік'!$J$13,E100-D100+1,"")</f>
        <v>30</v>
      </c>
      <c r="G100" s="99">
        <f>IF(B99&lt;'Умови та класичний графік'!$J$13,J100+K100+L100,"")</f>
        <v>22312.866927592961</v>
      </c>
      <c r="H100" s="100"/>
      <c r="I100" s="32">
        <f>IF(B99&lt;'Умови та класичний графік'!$J$13,I99-J100,"")</f>
        <v>321428.57142857177</v>
      </c>
      <c r="J100" s="32">
        <f>IF(B99&lt;'Умови та класичний графік'!$J$13,J99,"")</f>
        <v>16071.428571428571</v>
      </c>
      <c r="K100" s="32">
        <f>IF(B99&lt;'Умови та класичний графік'!$J$13,((I99*'Умови та класичний графік'!$J$22)/365)*F100,"")</f>
        <v>6241.4383561643908</v>
      </c>
      <c r="L100" s="30">
        <f>IF(B99&lt;'Умови та класичний графік'!$J$13,SUM(M100:V100),"")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графік'!$J$13,XIRR($G$36:G100,$C$36:C100,0),"")</f>
        <v>0.38704570800781257</v>
      </c>
      <c r="X100" s="42"/>
      <c r="Y100" s="35"/>
    </row>
    <row r="101" spans="2:25" x14ac:dyDescent="0.2">
      <c r="B101" s="25">
        <v>65</v>
      </c>
      <c r="C101" s="36">
        <f>IF(B100&lt;'Умови та класичний графік'!$J$13,EDATE(C100,1),"")</f>
        <v>46174</v>
      </c>
      <c r="D101" s="36">
        <f>IF(B100&lt;'Умови та класичний графік'!$J$13,C100,"")</f>
        <v>46143</v>
      </c>
      <c r="E101" s="26">
        <f>IF(B100&lt;'Умови та класичний графік'!$J$13,C101-1,"")</f>
        <v>46173</v>
      </c>
      <c r="F101" s="37">
        <f>IF(B100&lt;'Умови та класичний графік'!$J$13,E101-D101+1,"")</f>
        <v>31</v>
      </c>
      <c r="G101" s="99">
        <f>IF(B100&lt;'Умови та класичний графік'!$J$13,J101+K101+L101,"")</f>
        <v>22213.796477495114</v>
      </c>
      <c r="H101" s="100"/>
      <c r="I101" s="32">
        <f>IF(B100&lt;'Умови та класичний графік'!$J$13,I100-J101,"")</f>
        <v>305357.14285714319</v>
      </c>
      <c r="J101" s="32">
        <f>IF(B100&lt;'Умови та класичний графік'!$J$13,J100,"")</f>
        <v>16071.428571428571</v>
      </c>
      <c r="K101" s="32">
        <f>IF(B100&lt;'Умови та класичний графік'!$J$13,((I100*'Умови та класичний графік'!$J$22)/365)*F101,"")</f>
        <v>6142.3679060665436</v>
      </c>
      <c r="L101" s="30">
        <f>IF(B100&lt;'Умови та класичний графік'!$J$13,SUM(M101:V101),"")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графік'!$J$13,XIRR($G$36:G101,$C$36:C101,0),"")</f>
        <v>0.38933662597656271</v>
      </c>
      <c r="X101" s="42"/>
      <c r="Y101" s="35"/>
    </row>
    <row r="102" spans="2:25" x14ac:dyDescent="0.2">
      <c r="B102" s="25">
        <v>66</v>
      </c>
      <c r="C102" s="36">
        <f>IF(B101&lt;'Умови та класичний графік'!$J$13,EDATE(C101,1),"")</f>
        <v>46204</v>
      </c>
      <c r="D102" s="36">
        <f>IF(B101&lt;'Умови та класичний графік'!$J$13,C101,"")</f>
        <v>46174</v>
      </c>
      <c r="E102" s="26">
        <f>IF(B101&lt;'Умови та класичний графік'!$J$13,C102-1,"")</f>
        <v>46203</v>
      </c>
      <c r="F102" s="37">
        <f>IF(B101&lt;'Умови та класичний графік'!$J$13,E102-D102+1,"")</f>
        <v>30</v>
      </c>
      <c r="G102" s="99">
        <f>IF(B101&lt;'Умови та класичний графік'!$J$13,J102+K102+L102,"")</f>
        <v>21718.444227005875</v>
      </c>
      <c r="H102" s="100"/>
      <c r="I102" s="32">
        <f>IF(B101&lt;'Умови та класичний графік'!$J$13,I101-J102,"")</f>
        <v>289285.71428571461</v>
      </c>
      <c r="J102" s="32">
        <f>IF(B101&lt;'Умови та класичний графік'!$J$13,J101,"")</f>
        <v>16071.428571428571</v>
      </c>
      <c r="K102" s="32">
        <f>IF(B101&lt;'Умови та класичний графік'!$J$13,((I101*'Умови та класичний графік'!$J$22)/365)*F102,"")</f>
        <v>5647.0156555773056</v>
      </c>
      <c r="L102" s="30">
        <f>IF(B101&lt;'Умови та класичний графік'!$J$13,SUM(M102:V102),"")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графік'!$J$13,XIRR($G$36:G102,$C$36:C102,0),"")</f>
        <v>0.39149231933593753</v>
      </c>
      <c r="X102" s="42"/>
      <c r="Y102" s="35"/>
    </row>
    <row r="103" spans="2:25" x14ac:dyDescent="0.2">
      <c r="B103" s="25">
        <v>67</v>
      </c>
      <c r="C103" s="36">
        <f>IF(B102&lt;'Умови та класичний графік'!$J$13,EDATE(C102,1),"")</f>
        <v>46235</v>
      </c>
      <c r="D103" s="36">
        <f>IF(B102&lt;'Умови та класичний графік'!$J$13,C102,"")</f>
        <v>46204</v>
      </c>
      <c r="E103" s="26">
        <f>IF(B102&lt;'Умови та класичний графік'!$J$13,C103-1,"")</f>
        <v>46234</v>
      </c>
      <c r="F103" s="37">
        <f>IF(B102&lt;'Умови та класичний графік'!$J$13,E103-D103+1,"")</f>
        <v>31</v>
      </c>
      <c r="G103" s="99">
        <f>IF(B102&lt;'Умови та класичний графік'!$J$13,J103+K103+L103,"")</f>
        <v>21599.55968688846</v>
      </c>
      <c r="H103" s="100"/>
      <c r="I103" s="32">
        <f>IF(B102&lt;'Умови та класичний графік'!$J$13,I102-J103,"")</f>
        <v>273214.28571428603</v>
      </c>
      <c r="J103" s="32">
        <f>IF(B102&lt;'Умови та класичний графік'!$J$13,J102,"")</f>
        <v>16071.428571428571</v>
      </c>
      <c r="K103" s="32">
        <f>IF(B102&lt;'Умови та класичний графік'!$J$13,((I102*'Умови та класичний графік'!$J$22)/365)*F103,"")</f>
        <v>5528.1311154598898</v>
      </c>
      <c r="L103" s="30">
        <f>IF(B102&lt;'Умови та класичний графік'!$J$13,SUM(M103:V103),"")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графік'!$J$13,XIRR($G$36:G103,$C$36:C103,0),"")</f>
        <v>0.39355431152343756</v>
      </c>
      <c r="X103" s="42"/>
      <c r="Y103" s="35"/>
    </row>
    <row r="104" spans="2:25" x14ac:dyDescent="0.2">
      <c r="B104" s="25">
        <v>68</v>
      </c>
      <c r="C104" s="36">
        <f>IF(B103&lt;'Умови та класичний графік'!$J$13,EDATE(C103,1),"")</f>
        <v>46266</v>
      </c>
      <c r="D104" s="36">
        <f>IF(B103&lt;'Умови та класичний графік'!$J$13,C103,"")</f>
        <v>46235</v>
      </c>
      <c r="E104" s="26">
        <f>IF(B103&lt;'Умови та класичний графік'!$J$13,C104-1,"")</f>
        <v>46265</v>
      </c>
      <c r="F104" s="37">
        <f>IF(B103&lt;'Умови та класичний графік'!$J$13,E104-D104+1,"")</f>
        <v>31</v>
      </c>
      <c r="G104" s="99">
        <f>IF(B103&lt;'Умови та класичний графік'!$J$13,J104+K104+L104,"")</f>
        <v>21292.441291585132</v>
      </c>
      <c r="H104" s="100"/>
      <c r="I104" s="32">
        <f>IF(B103&lt;'Умови та класичний графік'!$J$13,I103-J104,"")</f>
        <v>257142.85714285745</v>
      </c>
      <c r="J104" s="32">
        <f>IF(B103&lt;'Умови та класичний графік'!$J$13,J103,"")</f>
        <v>16071.428571428571</v>
      </c>
      <c r="K104" s="32">
        <f>IF(B103&lt;'Умови та класичний графік'!$J$13,((I103*'Умови та класичний графік'!$J$22)/365)*F104,"")</f>
        <v>5221.012720156562</v>
      </c>
      <c r="L104" s="30">
        <f>IF(B103&lt;'Умови та класичний графік'!$J$13,SUM(M104:V104),"")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графік'!$J$13,XIRR($G$36:G104,$C$36:C104,0),"")</f>
        <v>0.3955097021484375</v>
      </c>
      <c r="X104" s="42"/>
      <c r="Y104" s="35"/>
    </row>
    <row r="105" spans="2:25" x14ac:dyDescent="0.2">
      <c r="B105" s="25">
        <v>69</v>
      </c>
      <c r="C105" s="36">
        <f>IF(B104&lt;'Умови та класичний графік'!$J$13,EDATE(C104,1),"")</f>
        <v>46296</v>
      </c>
      <c r="D105" s="36">
        <f>IF(B104&lt;'Умови та класичний графік'!$J$13,C104,"")</f>
        <v>46266</v>
      </c>
      <c r="E105" s="26">
        <f>IF(B104&lt;'Умови та класичний графік'!$J$13,C105-1,"")</f>
        <v>46295</v>
      </c>
      <c r="F105" s="37">
        <f>IF(B104&lt;'Умови та класичний графік'!$J$13,E105-D105+1,"")</f>
        <v>30</v>
      </c>
      <c r="G105" s="99">
        <f>IF(B104&lt;'Умови та класичний графік'!$J$13,J105+K105+L105,"")</f>
        <v>20826.810176125247</v>
      </c>
      <c r="H105" s="100"/>
      <c r="I105" s="32">
        <f>IF(B104&lt;'Умови та класичний графік'!$J$13,I104-J105,"")</f>
        <v>241071.42857142887</v>
      </c>
      <c r="J105" s="32">
        <f>IF(B104&lt;'Умови та класичний графік'!$J$13,J104,"")</f>
        <v>16071.428571428571</v>
      </c>
      <c r="K105" s="32">
        <f>IF(B104&lt;'Умови та класичний графік'!$J$13,((I104*'Умови та класичний графік'!$J$22)/365)*F105,"")</f>
        <v>4755.3816046966786</v>
      </c>
      <c r="L105" s="30">
        <f>IF(B104&lt;'Умови та класичний графік'!$J$13,SUM(M105:V105),"")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графік'!$J$13,XIRR($G$36:G105,$C$36:C105,0),"")</f>
        <v>0.39735180175781248</v>
      </c>
      <c r="X105" s="42"/>
      <c r="Y105" s="35"/>
    </row>
    <row r="106" spans="2:25" x14ac:dyDescent="0.2">
      <c r="B106" s="25">
        <v>70</v>
      </c>
      <c r="C106" s="36">
        <f>IF(B105&lt;'Умови та класичний графік'!$J$13,EDATE(C105,1),"")</f>
        <v>46327</v>
      </c>
      <c r="D106" s="36">
        <f>IF(B105&lt;'Умови та класичний графік'!$J$13,C105,"")</f>
        <v>46296</v>
      </c>
      <c r="E106" s="26">
        <f>IF(B105&lt;'Умови та класичний графік'!$J$13,C106-1,"")</f>
        <v>46326</v>
      </c>
      <c r="F106" s="37">
        <f>IF(B105&lt;'Умови та класичний графік'!$J$13,E106-D106+1,"")</f>
        <v>31</v>
      </c>
      <c r="G106" s="99">
        <f>IF(B105&lt;'Умови та класичний графік'!$J$13,J106+K106+L106,"")</f>
        <v>20678.204500978478</v>
      </c>
      <c r="H106" s="100"/>
      <c r="I106" s="32">
        <f>IF(B105&lt;'Умови та класичний графік'!$J$13,I105-J106,"")</f>
        <v>225000.00000000029</v>
      </c>
      <c r="J106" s="32">
        <f>IF(B105&lt;'Умови та класичний графік'!$J$13,J105,"")</f>
        <v>16071.428571428571</v>
      </c>
      <c r="K106" s="32">
        <f>IF(B105&lt;'Умови та класичний графік'!$J$13,((I105*'Умови та класичний графік'!$J$22)/365)*F106,"")</f>
        <v>4606.7759295499081</v>
      </c>
      <c r="L106" s="30">
        <f>IF(B105&lt;'Умови та класичний графік'!$J$13,SUM(M106:V106),"")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графік'!$J$13,XIRR($G$36:G106,$C$36:C106,0),"")</f>
        <v>0.39911210449218748</v>
      </c>
      <c r="X106" s="42"/>
      <c r="Y106" s="35"/>
    </row>
    <row r="107" spans="2:25" x14ac:dyDescent="0.2">
      <c r="B107" s="25">
        <v>71</v>
      </c>
      <c r="C107" s="36">
        <f>IF(B106&lt;'Умови та класичний графік'!$J$13,EDATE(C106,1),"")</f>
        <v>46357</v>
      </c>
      <c r="D107" s="36">
        <f>IF(B106&lt;'Умови та класичний графік'!$J$13,C106,"")</f>
        <v>46327</v>
      </c>
      <c r="E107" s="26">
        <f>IF(B106&lt;'Умови та класичний графік'!$J$13,C107-1,"")</f>
        <v>46356</v>
      </c>
      <c r="F107" s="37">
        <f>IF(B106&lt;'Умови та класичний графік'!$J$13,E107-D107+1,"")</f>
        <v>30</v>
      </c>
      <c r="G107" s="99">
        <f>IF(B106&lt;'Умови та класичний графік'!$J$13,J107+K107+L107,"")</f>
        <v>20232.387475538166</v>
      </c>
      <c r="H107" s="100"/>
      <c r="I107" s="32">
        <f>IF(B106&lt;'Умови та класичний графік'!$J$13,I106-J107,"")</f>
        <v>208928.57142857171</v>
      </c>
      <c r="J107" s="32">
        <f>IF(B106&lt;'Умови та класичний графік'!$J$13,J106,"")</f>
        <v>16071.428571428571</v>
      </c>
      <c r="K107" s="32">
        <f>IF(B106&lt;'Умови та класичний графік'!$J$13,((I106*'Умови та класичний графік'!$J$22)/365)*F107,"")</f>
        <v>4160.9589041095942</v>
      </c>
      <c r="L107" s="30">
        <f>IF(B106&lt;'Умови та класичний графік'!$J$13,SUM(M107:V107),"")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графік'!$J$13,XIRR($G$36:G107,$C$36:C107,0),"")</f>
        <v>0.4007717041015626</v>
      </c>
      <c r="X107" s="42"/>
      <c r="Y107" s="35"/>
    </row>
    <row r="108" spans="2:25" x14ac:dyDescent="0.2">
      <c r="B108" s="25">
        <v>72</v>
      </c>
      <c r="C108" s="36">
        <f>IF(B107&lt;'Умови та класичний графік'!$J$13,EDATE(C107,1),"")</f>
        <v>46388</v>
      </c>
      <c r="D108" s="36">
        <f>IF(B107&lt;'Умови та класичний графік'!$J$13,C107,"")</f>
        <v>46357</v>
      </c>
      <c r="E108" s="26">
        <f>IF(B107&lt;'Умови та класичний графік'!$J$13,C108-1,"")</f>
        <v>46387</v>
      </c>
      <c r="F108" s="37">
        <f>IF(B107&lt;'Умови та класичний графік'!$J$13,E108-D108+1,"")</f>
        <v>31</v>
      </c>
      <c r="G108" s="99">
        <f>IF(B107&lt;'Умови та класичний графік'!$J$13,J108+K108+L108,"")</f>
        <v>111942.53913894326</v>
      </c>
      <c r="H108" s="100"/>
      <c r="I108" s="32">
        <f>IF(B107&lt;'Умови та класичний графік'!$J$13,I107-J108,"")</f>
        <v>192857.14285714313</v>
      </c>
      <c r="J108" s="32">
        <f>IF(B107&lt;'Умови та класичний графік'!$J$13,J107,"")</f>
        <v>16071.428571428571</v>
      </c>
      <c r="K108" s="32">
        <f>IF(B107&lt;'Умови та класичний графік'!$J$13,((I107*'Умови та класичний графік'!$J$22)/365)*F108,"")</f>
        <v>3992.5391389432543</v>
      </c>
      <c r="L108" s="30">
        <f>IF(B107&lt;'Умови та класичний графік'!$J$13,SUM(M108:V108),"")</f>
        <v>91878.571428571435</v>
      </c>
      <c r="M108" s="38"/>
      <c r="N108" s="39"/>
      <c r="O108" s="39"/>
      <c r="P108" s="32"/>
      <c r="Q108" s="40"/>
      <c r="R108" s="40"/>
      <c r="S108" s="41"/>
      <c r="T108" s="41"/>
      <c r="U108" s="33">
        <f>IF(B107&lt;'Умови та класичний графік'!$J$13,('Умови та класичний графік'!$J$14*$N$19)+(I108*$N$20)+$J$21,"")</f>
        <v>91878.571428571435</v>
      </c>
      <c r="V108" s="41"/>
      <c r="W108" s="43">
        <f>IF(B107&lt;'Умови та класичний графік'!$J$13,XIRR($G$36:G108,$C$36:C108,0),"")</f>
        <v>0.40943638183593756</v>
      </c>
      <c r="X108" s="42"/>
      <c r="Y108" s="35"/>
    </row>
    <row r="109" spans="2:25" x14ac:dyDescent="0.2">
      <c r="B109" s="25">
        <v>73</v>
      </c>
      <c r="C109" s="36">
        <f>IF(B108&lt;'Умови та класичний графік'!$J$13,EDATE(C108,1),"")</f>
        <v>46419</v>
      </c>
      <c r="D109" s="36">
        <f>IF(B108&lt;'Умови та класичний графік'!$J$13,C108,"")</f>
        <v>46388</v>
      </c>
      <c r="E109" s="26">
        <f>IF(B108&lt;'Умови та класичний графік'!$J$13,C109-1,"")</f>
        <v>46418</v>
      </c>
      <c r="F109" s="37">
        <f>IF(B108&lt;'Умови та класичний графік'!$J$13,E109-D109+1,"")</f>
        <v>31</v>
      </c>
      <c r="G109" s="99">
        <f>IF(B108&lt;'Умови та класичний графік'!$J$13,J109+K109+L109,"")</f>
        <v>19756.849315068495</v>
      </c>
      <c r="H109" s="100"/>
      <c r="I109" s="32">
        <f>IF(B108&lt;'Умови та класичний графік'!$J$13,I108-J109,"")</f>
        <v>176785.71428571455</v>
      </c>
      <c r="J109" s="32">
        <f>IF(B108&lt;'Умови та класичний графік'!$J$13,J108,"")</f>
        <v>16071.428571428571</v>
      </c>
      <c r="K109" s="32">
        <f>IF(B108&lt;'Умови та класичний графік'!$J$13,((I108*'Умови та класичний графік'!$J$22)/365)*F109,"")</f>
        <v>3685.4207436399265</v>
      </c>
      <c r="L109" s="30">
        <f>IF(B108&lt;'Умови та класичний графік'!$J$13,SUM(M109:V109),"")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графік'!$J$13,XIRR($G$36:G109,$C$36:C109,0),"")</f>
        <v>0.41087989746093756</v>
      </c>
      <c r="X109" s="42"/>
      <c r="Y109" s="35"/>
    </row>
    <row r="110" spans="2:25" x14ac:dyDescent="0.2">
      <c r="B110" s="25">
        <v>74</v>
      </c>
      <c r="C110" s="36">
        <f>IF(B109&lt;'Умови та класичний графік'!$J$13,EDATE(C109,1),"")</f>
        <v>46447</v>
      </c>
      <c r="D110" s="36">
        <f>IF(B109&lt;'Умови та класичний графік'!$J$13,C109,"")</f>
        <v>46419</v>
      </c>
      <c r="E110" s="26">
        <f>IF(B109&lt;'Умови та класичний графік'!$J$13,C110-1,"")</f>
        <v>46446</v>
      </c>
      <c r="F110" s="37">
        <f>IF(B109&lt;'Умови та класичний графік'!$J$13,E110-D110+1,"")</f>
        <v>28</v>
      </c>
      <c r="G110" s="99">
        <f>IF(B109&lt;'Умови та класичний графік'!$J$13,J110+K110+L110,"")</f>
        <v>19122.798434442273</v>
      </c>
      <c r="H110" s="100"/>
      <c r="I110" s="32">
        <f>IF(B109&lt;'Умови та класичний графік'!$J$13,I109-J110,"")</f>
        <v>160714.28571428597</v>
      </c>
      <c r="J110" s="32">
        <f>IF(B109&lt;'Умови та класичний графік'!$J$13,J109,"")</f>
        <v>16071.428571428571</v>
      </c>
      <c r="K110" s="32">
        <f>IF(B109&lt;'Умови та класичний графік'!$J$13,((I109*'Умови та класичний графік'!$J$22)/365)*F110,"")</f>
        <v>3051.3698630137033</v>
      </c>
      <c r="L110" s="30">
        <f>IF(B109&lt;'Умови та класичний графік'!$J$13,SUM(M110:V110),"")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графік'!$J$13,XIRR($G$36:G110,$C$36:C110,0),"")</f>
        <v>0.41222974121093747</v>
      </c>
      <c r="X110" s="42"/>
      <c r="Y110" s="35"/>
    </row>
    <row r="111" spans="2:25" x14ac:dyDescent="0.2">
      <c r="B111" s="25">
        <v>75</v>
      </c>
      <c r="C111" s="36">
        <f>IF(B110&lt;'Умови та класичний графік'!$J$13,EDATE(C110,1),"")</f>
        <v>46478</v>
      </c>
      <c r="D111" s="36">
        <f>IF(B110&lt;'Умови та класичний графік'!$J$13,C110,"")</f>
        <v>46447</v>
      </c>
      <c r="E111" s="26">
        <f>IF(B110&lt;'Умови та класичний графік'!$J$13,C111-1,"")</f>
        <v>46477</v>
      </c>
      <c r="F111" s="37">
        <f>IF(B110&lt;'Умови та класичний графік'!$J$13,E111-D111+1,"")</f>
        <v>31</v>
      </c>
      <c r="G111" s="99">
        <f>IF(B110&lt;'Умови та класичний графік'!$J$13,J111+K111+L111,"")</f>
        <v>19142.612524461845</v>
      </c>
      <c r="H111" s="100"/>
      <c r="I111" s="32">
        <f>IF(B110&lt;'Умови та класичний графік'!$J$13,I110-J111,"")</f>
        <v>144642.85714285739</v>
      </c>
      <c r="J111" s="32">
        <f>IF(B110&lt;'Умови та класичний графік'!$J$13,J110,"")</f>
        <v>16071.428571428571</v>
      </c>
      <c r="K111" s="32">
        <f>IF(B110&lt;'Умови та класичний графік'!$J$13,((I110*'Умови та класичний графік'!$J$22)/365)*F111,"")</f>
        <v>3071.1839530332732</v>
      </c>
      <c r="L111" s="30">
        <f>IF(B110&lt;'Умови та класичний графік'!$J$13,SUM(M111:V111),"")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графік'!$J$13,XIRR($G$36:G111,$C$36:C111,0),"")</f>
        <v>0.41353176269531255</v>
      </c>
      <c r="X111" s="42"/>
      <c r="Y111" s="35"/>
    </row>
    <row r="112" spans="2:25" x14ac:dyDescent="0.2">
      <c r="B112" s="25">
        <v>76</v>
      </c>
      <c r="C112" s="36">
        <f>IF(B111&lt;'Умови та класичний графік'!$J$13,EDATE(C111,1),"")</f>
        <v>46508</v>
      </c>
      <c r="D112" s="36">
        <f>IF(B111&lt;'Умови та класичний графік'!$J$13,C111,"")</f>
        <v>46478</v>
      </c>
      <c r="E112" s="26">
        <f>IF(B111&lt;'Умови та класичний графік'!$J$13,C112-1,"")</f>
        <v>46507</v>
      </c>
      <c r="F112" s="37">
        <f>IF(B111&lt;'Умови та класичний графік'!$J$13,E112-D112+1,"")</f>
        <v>30</v>
      </c>
      <c r="G112" s="99">
        <f>IF(B111&lt;'Умови та класичний графік'!$J$13,J112+K112+L112,"")</f>
        <v>18746.330724070453</v>
      </c>
      <c r="H112" s="100"/>
      <c r="I112" s="32">
        <f>IF(B111&lt;'Умови та класичний графік'!$J$13,I111-J112,"")</f>
        <v>128571.42857142883</v>
      </c>
      <c r="J112" s="32">
        <f>IF(B111&lt;'Умови та класичний графік'!$J$13,J111,"")</f>
        <v>16071.428571428571</v>
      </c>
      <c r="K112" s="32">
        <f>IF(B111&lt;'Умови та класичний графік'!$J$13,((I111*'Умови та класичний графік'!$J$22)/365)*F112,"")</f>
        <v>2674.9021526418833</v>
      </c>
      <c r="L112" s="30">
        <f>IF(B111&lt;'Умови та класичний графік'!$J$13,SUM(M112:V112),"")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графік'!$J$13,XIRR($G$36:G112,$C$36:C112,0),"")</f>
        <v>0.41476173339843758</v>
      </c>
      <c r="X112" s="42"/>
      <c r="Y112" s="35"/>
    </row>
    <row r="113" spans="2:25" x14ac:dyDescent="0.2">
      <c r="B113" s="25">
        <v>77</v>
      </c>
      <c r="C113" s="36">
        <f>IF(B112&lt;'Умови та класичний графік'!$J$13,EDATE(C112,1),"")</f>
        <v>46539</v>
      </c>
      <c r="D113" s="36">
        <f>IF(B112&lt;'Умови та класичний графік'!$J$13,C112,"")</f>
        <v>46508</v>
      </c>
      <c r="E113" s="26">
        <f>IF(B112&lt;'Умови та класичний графік'!$J$13,C113-1,"")</f>
        <v>46538</v>
      </c>
      <c r="F113" s="37">
        <f>IF(B112&lt;'Умови та класичний графік'!$J$13,E113-D113+1,"")</f>
        <v>31</v>
      </c>
      <c r="G113" s="99">
        <f>IF(B112&lt;'Умови та класичний графік'!$J$13,J113+K113+L113,"")</f>
        <v>18528.375733855191</v>
      </c>
      <c r="H113" s="100"/>
      <c r="I113" s="32">
        <f>IF(B112&lt;'Умови та класичний графік'!$J$13,I112-J113,"")</f>
        <v>112500.00000000026</v>
      </c>
      <c r="J113" s="32">
        <f>IF(B112&lt;'Умови та класичний графік'!$J$13,J112,"")</f>
        <v>16071.428571428571</v>
      </c>
      <c r="K113" s="32">
        <f>IF(B112&lt;'Умови та класичний графік'!$J$13,((I112*'Умови та класичний графік'!$J$22)/365)*F113,"")</f>
        <v>2456.9471624266193</v>
      </c>
      <c r="L113" s="30">
        <f>IF(B112&lt;'Умови та класичний графік'!$J$13,SUM(M113:V113),"")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графік'!$J$13,XIRR($G$36:G113,$C$36:C113,0),"")</f>
        <v>0.41593352050781252</v>
      </c>
      <c r="X113" s="42"/>
      <c r="Y113" s="35"/>
    </row>
    <row r="114" spans="2:25" x14ac:dyDescent="0.2">
      <c r="B114" s="25">
        <v>78</v>
      </c>
      <c r="C114" s="36">
        <f>IF(B113&lt;'Умови та класичний графік'!$J$13,EDATE(C113,1),"")</f>
        <v>46569</v>
      </c>
      <c r="D114" s="36">
        <f>IF(B113&lt;'Умови та класичний графік'!$J$13,C113,"")</f>
        <v>46539</v>
      </c>
      <c r="E114" s="26">
        <f>IF(B113&lt;'Умови та класичний графік'!$J$13,C114-1,"")</f>
        <v>46568</v>
      </c>
      <c r="F114" s="37">
        <f>IF(B113&lt;'Умови та класичний графік'!$J$13,E114-D114+1,"")</f>
        <v>30</v>
      </c>
      <c r="G114" s="99">
        <f>IF(B113&lt;'Умови та класичний графік'!$J$13,J114+K114+L114,"")</f>
        <v>18151.908023483371</v>
      </c>
      <c r="H114" s="100"/>
      <c r="I114" s="32">
        <f>IF(B113&lt;'Умови та класичний графік'!$J$13,I113-J114,"")</f>
        <v>96428.571428571697</v>
      </c>
      <c r="J114" s="32">
        <f>IF(B113&lt;'Умови та класичний графік'!$J$13,J113,"")</f>
        <v>16071.428571428571</v>
      </c>
      <c r="K114" s="32">
        <f>IF(B113&lt;'Умови та класичний графік'!$J$13,((I113*'Умови та класичний графік'!$J$22)/365)*F114,"")</f>
        <v>2080.4794520547994</v>
      </c>
      <c r="L114" s="30">
        <f>IF(B113&lt;'Умови та класичний графік'!$J$13,SUM(M114:V114),"")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графік'!$J$13,XIRR($G$36:G114,$C$36:C114,0),"")</f>
        <v>0.41704130371093751</v>
      </c>
      <c r="X114" s="42"/>
      <c r="Y114" s="35"/>
    </row>
    <row r="115" spans="2:25" x14ac:dyDescent="0.2">
      <c r="B115" s="25">
        <v>79</v>
      </c>
      <c r="C115" s="36">
        <f>IF(B114&lt;'Умови та класичний графік'!$J$13,EDATE(C114,1),"")</f>
        <v>46600</v>
      </c>
      <c r="D115" s="36">
        <f>IF(B114&lt;'Умови та класичний графік'!$J$13,C114,"")</f>
        <v>46569</v>
      </c>
      <c r="E115" s="26">
        <f>IF(B114&lt;'Умови та класичний графік'!$J$13,C115-1,"")</f>
        <v>46599</v>
      </c>
      <c r="F115" s="37">
        <f>IF(B114&lt;'Умови та класичний графік'!$J$13,E115-D115+1,"")</f>
        <v>31</v>
      </c>
      <c r="G115" s="99">
        <f>IF(B114&lt;'Умови та класичний графік'!$J$13,J115+K115+L115,"")</f>
        <v>17914.138943248538</v>
      </c>
      <c r="H115" s="100"/>
      <c r="I115" s="32">
        <f>IF(B114&lt;'Умови та класичний графік'!$J$13,I114-J115,"")</f>
        <v>80357.142857143132</v>
      </c>
      <c r="J115" s="32">
        <f>IF(B114&lt;'Умови та класичний графік'!$J$13,J114,"")</f>
        <v>16071.428571428571</v>
      </c>
      <c r="K115" s="32">
        <f>IF(B114&lt;'Умови та класичний графік'!$J$13,((I114*'Умови та класичний графік'!$J$22)/365)*F115,"")</f>
        <v>1842.710371819966</v>
      </c>
      <c r="L115" s="30">
        <f>IF(B114&lt;'Умови та класичний графік'!$J$13,SUM(M115:V115),"")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графік'!$J$13,XIRR($G$36:G115,$C$36:C115,0),"")</f>
        <v>0.41809551269531253</v>
      </c>
      <c r="X115" s="42"/>
      <c r="Y115" s="35"/>
    </row>
    <row r="116" spans="2:25" x14ac:dyDescent="0.2">
      <c r="B116" s="25">
        <v>80</v>
      </c>
      <c r="C116" s="36">
        <f>IF(B115&lt;'Умови та класичний графік'!$J$13,EDATE(C115,1),"")</f>
        <v>46631</v>
      </c>
      <c r="D116" s="36">
        <f>IF(B115&lt;'Умови та класичний графік'!$J$13,C115,"")</f>
        <v>46600</v>
      </c>
      <c r="E116" s="26">
        <f>IF(B115&lt;'Умови та класичний графік'!$J$13,C116-1,"")</f>
        <v>46630</v>
      </c>
      <c r="F116" s="37">
        <f>IF(B115&lt;'Умови та класичний графік'!$J$13,E116-D116+1,"")</f>
        <v>31</v>
      </c>
      <c r="G116" s="99">
        <f>IF(B115&lt;'Умови та класичний графік'!$J$13,J116+K116+L116,"")</f>
        <v>17607.020547945209</v>
      </c>
      <c r="H116" s="100"/>
      <c r="I116" s="32">
        <f>IF(B115&lt;'Умови та класичний графік'!$J$13,I115-J116,"")</f>
        <v>64285.714285714559</v>
      </c>
      <c r="J116" s="32">
        <f>IF(B115&lt;'Умови та класичний графік'!$J$13,J115,"")</f>
        <v>16071.428571428571</v>
      </c>
      <c r="K116" s="32">
        <f>IF(B115&lt;'Умови та класичний графік'!$J$13,((I115*'Умови та класичний графік'!$J$22)/365)*F116,"")</f>
        <v>1535.5919765166395</v>
      </c>
      <c r="L116" s="30">
        <f>IF(B115&lt;'Умови та класичний графік'!$J$13,SUM(M116:V116),"")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графік'!$J$13,XIRR($G$36:G116,$C$36:C116,0),"")</f>
        <v>0.41909477050781263</v>
      </c>
      <c r="X116" s="42"/>
      <c r="Y116" s="35"/>
    </row>
    <row r="117" spans="2:25" x14ac:dyDescent="0.2">
      <c r="B117" s="25">
        <v>81</v>
      </c>
      <c r="C117" s="36">
        <f>IF(B116&lt;'Умови та класичний графік'!$J$13,EDATE(C116,1),"")</f>
        <v>46661</v>
      </c>
      <c r="D117" s="36">
        <f>IF(B116&lt;'Умови та класичний графік'!$J$13,C116,"")</f>
        <v>46631</v>
      </c>
      <c r="E117" s="26">
        <f>IF(B116&lt;'Умови та класичний графік'!$J$13,C117-1,"")</f>
        <v>46660</v>
      </c>
      <c r="F117" s="37">
        <f>IF(B116&lt;'Умови та класичний графік'!$J$13,E117-D117+1,"")</f>
        <v>30</v>
      </c>
      <c r="G117" s="99">
        <f>IF(B116&lt;'Умови та класичний графік'!$J$13,J117+K117+L117,"")</f>
        <v>17260.273972602743</v>
      </c>
      <c r="H117" s="100"/>
      <c r="I117" s="32">
        <f>IF(B116&lt;'Умови та класичний графік'!$J$13,I116-J117,"")</f>
        <v>48214.285714285987</v>
      </c>
      <c r="J117" s="32">
        <f>IF(B116&lt;'Умови та класичний графік'!$J$13,J116,"")</f>
        <v>16071.428571428571</v>
      </c>
      <c r="K117" s="32">
        <f>IF(B116&lt;'Умови та класичний графік'!$J$13,((I116*'Умови та класичний графік'!$J$22)/365)*F117,"")</f>
        <v>1188.8454011741733</v>
      </c>
      <c r="L117" s="30">
        <f>IF(B116&lt;'Умови та класичний графік'!$J$13,SUM(M117:V117),"")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графік'!$J$13,XIRR($G$36:G117,$C$36:C117,0),"")</f>
        <v>0.42004059082031253</v>
      </c>
      <c r="X117" s="42"/>
      <c r="Y117" s="35"/>
    </row>
    <row r="118" spans="2:25" x14ac:dyDescent="0.2">
      <c r="B118" s="25">
        <v>82</v>
      </c>
      <c r="C118" s="36">
        <f>IF(B117&lt;'Умови та класичний графік'!$J$13,EDATE(C117,1),"")</f>
        <v>46692</v>
      </c>
      <c r="D118" s="36">
        <f>IF(B117&lt;'Умови та класичний графік'!$J$13,C117,"")</f>
        <v>46661</v>
      </c>
      <c r="E118" s="26">
        <f>IF(B117&lt;'Умови та класичний графік'!$J$13,C118-1,"")</f>
        <v>46691</v>
      </c>
      <c r="F118" s="37">
        <f>IF(B117&lt;'Умови та класичний графік'!$J$13,E118-D118+1,"")</f>
        <v>31</v>
      </c>
      <c r="G118" s="99">
        <f>IF(B117&lt;'Умови та класичний графік'!$J$13,J118+K118+L118,"")</f>
        <v>16992.783757338555</v>
      </c>
      <c r="H118" s="100"/>
      <c r="I118" s="32">
        <f>IF(B117&lt;'Умови та класичний графік'!$J$13,I117-J118,"")</f>
        <v>32142.857142857414</v>
      </c>
      <c r="J118" s="32">
        <f>IF(B117&lt;'Умови та класичний графік'!$J$13,J117,"")</f>
        <v>16071.428571428571</v>
      </c>
      <c r="K118" s="32">
        <f>IF(B117&lt;'Умови та класичний графік'!$J$13,((I117*'Умови та класичний графік'!$J$22)/365)*F118,"")</f>
        <v>921.35518590998572</v>
      </c>
      <c r="L118" s="30">
        <f>IF(B117&lt;'Умови та класичний графік'!$J$13,SUM(M118:V118),"")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графік'!$J$13,XIRR($G$36:G118,$C$36:C118,0),"")</f>
        <v>0.42093895019531258</v>
      </c>
      <c r="X118" s="42"/>
      <c r="Y118" s="35"/>
    </row>
    <row r="119" spans="2:25" x14ac:dyDescent="0.2">
      <c r="B119" s="25">
        <v>83</v>
      </c>
      <c r="C119" s="36">
        <f>IF(B118&lt;'Умови та класичний графік'!$J$13,EDATE(C118,1),"")</f>
        <v>46722</v>
      </c>
      <c r="D119" s="36">
        <f>IF(B118&lt;'Умови та класичний графік'!$J$13,C118,"")</f>
        <v>46692</v>
      </c>
      <c r="E119" s="26">
        <f>IF(B118&lt;'Умови та класичний графік'!$J$13,C119-1,"")</f>
        <v>46721</v>
      </c>
      <c r="F119" s="37">
        <f>IF(B118&lt;'Умови та класичний графік'!$J$13,E119-D119+1,"")</f>
        <v>30</v>
      </c>
      <c r="G119" s="99">
        <f>IF(B118&lt;'Умови та класичний графік'!$J$13,J119+K119+L119,"")</f>
        <v>16665.851272015661</v>
      </c>
      <c r="H119" s="100"/>
      <c r="I119" s="32">
        <f>IF(B118&lt;'Умови та класичний графік'!$J$13,I118-J119,"")</f>
        <v>16071.428571428843</v>
      </c>
      <c r="J119" s="32">
        <f>IF(B118&lt;'Умови та класичний графік'!$J$13,J118,"")</f>
        <v>16071.428571428571</v>
      </c>
      <c r="K119" s="32">
        <f>IF(B118&lt;'Умови та класичний графік'!$J$13,((I118*'Умови та класичний графік'!$J$22)/365)*F119,"")</f>
        <v>594.42270058708925</v>
      </c>
      <c r="L119" s="30">
        <f>IF(B118&lt;'Умови та класичний графік'!$J$13,SUM(M119:V119),"")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графік'!$J$13,XIRR($G$36:G119,$C$36:C119,0),"")</f>
        <v>0.42178993652343755</v>
      </c>
      <c r="X119" s="42"/>
      <c r="Y119" s="35"/>
    </row>
    <row r="120" spans="2:25" x14ac:dyDescent="0.2">
      <c r="B120" s="25">
        <v>84</v>
      </c>
      <c r="C120" s="36">
        <f>IF(B119&lt;'Умови та класичний графік'!$J$13,EDATE(C119,1),"")</f>
        <v>46753</v>
      </c>
      <c r="D120" s="36">
        <f>IF(B119&lt;'Умови та класичний графік'!$J$13,C119,"")</f>
        <v>46722</v>
      </c>
      <c r="E120" s="26">
        <f>IF(B119&lt;'Умови та класичний графік'!$J$13,C120-1,"")</f>
        <v>46752</v>
      </c>
      <c r="F120" s="37">
        <f>IF(B119&lt;'Умови та класичний графік'!$J$13,E120-D120+1,"")</f>
        <v>31</v>
      </c>
      <c r="G120" s="99">
        <f>IF(B119&lt;'Умови та класичний графік'!$J$13,J120+K120+L120,"")</f>
        <v>16378.546966731903</v>
      </c>
      <c r="H120" s="100"/>
      <c r="I120" s="32">
        <f>IF(B119&lt;'Умови та класичний графік'!$J$13,I119-J120,"")</f>
        <v>2.7284841053187847E-10</v>
      </c>
      <c r="J120" s="32">
        <f>IF(B119&lt;'Умови та класичний графік'!$J$13,J119,"")</f>
        <v>16071.428571428571</v>
      </c>
      <c r="K120" s="32">
        <f>IF(B119&lt;'Умови та класичний графік'!$J$13,((I119*'Умови та класичний графік'!$J$22)/365)*F120,"")</f>
        <v>307.11839530333202</v>
      </c>
      <c r="L120" s="30">
        <f>IF(B119&lt;'Умови та класичний графік'!$J$13,SUM(M120:V120),"")</f>
        <v>0</v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>
        <f>IF(B119&lt;'Умови та класичний графік'!$J$13,XIRR($G$36:G120,$C$36:C120,0),"")</f>
        <v>0.42259707519531253</v>
      </c>
      <c r="X120" s="42"/>
      <c r="Y120" s="35"/>
    </row>
    <row r="121" spans="2:25" hidden="1" x14ac:dyDescent="0.2">
      <c r="B121" s="25">
        <v>85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99" t="str">
        <f>IF(B120&lt;'Умови та класичний графік'!$J$13,J121+K121+L121,"")</f>
        <v/>
      </c>
      <c r="H121" s="100"/>
      <c r="I121" s="32" t="str">
        <f>IF(B120&lt;'Умови та класичний графік'!$J$13,I120-J121,"")</f>
        <v/>
      </c>
      <c r="J121" s="32" t="str">
        <f>IF(B120&lt;'Умови та класичний графік'!$J$13,J120,"")</f>
        <v/>
      </c>
      <c r="K121" s="32" t="str">
        <f>IF(B120&lt;'Умови та класичний графік'!$J$13,((I120*'Умови та класичний графік'!$J$22)/365)*F121,"")</f>
        <v/>
      </c>
      <c r="L121" s="30" t="str">
        <f>IF(B120&lt;'Умови та класичний графік'!$J$13,SUM(M121:V121),"")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графік'!$J$13,XIRR($G$36:G121,$C$36:C121,0),"")</f>
        <v/>
      </c>
      <c r="X121" s="42"/>
      <c r="Y121" s="35"/>
    </row>
    <row r="122" spans="2:25" hidden="1" x14ac:dyDescent="0.2">
      <c r="B122" s="25">
        <v>86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99" t="str">
        <f>IF(B121&lt;'Умови та класичний графік'!$J$13,J122+K122+L122,"")</f>
        <v/>
      </c>
      <c r="H122" s="100"/>
      <c r="I122" s="32" t="str">
        <f>IF(B121&lt;'Умови та класичний графік'!$J$13,I121-J122,"")</f>
        <v/>
      </c>
      <c r="J122" s="32" t="str">
        <f>IF(B121&lt;'Умови та класичний графік'!$J$13,J121,"")</f>
        <v/>
      </c>
      <c r="K122" s="32" t="str">
        <f>IF(B121&lt;'Умови та класичний графік'!$J$13,((I121*'Умови та класичний графік'!$J$22)/365)*F122,"")</f>
        <v/>
      </c>
      <c r="L122" s="30" t="str">
        <f>IF(B121&lt;'Умови та класичний графік'!$J$13,SUM(M122:V122),"")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графік'!$J$13,XIRR($G$36:G122,$C$36:C122,0),"")</f>
        <v/>
      </c>
      <c r="X122" s="42"/>
      <c r="Y122" s="35"/>
    </row>
    <row r="123" spans="2:25" hidden="1" x14ac:dyDescent="0.2">
      <c r="B123" s="25">
        <v>87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99" t="str">
        <f>IF(B122&lt;'Умови та класичний графік'!$J$13,J123+K123+L123,"")</f>
        <v/>
      </c>
      <c r="H123" s="100"/>
      <c r="I123" s="32" t="str">
        <f>IF(B122&lt;'Умови та класичний графік'!$J$13,I122-J123,"")</f>
        <v/>
      </c>
      <c r="J123" s="32" t="str">
        <f>IF(B122&lt;'Умови та класичний графік'!$J$13,J122,"")</f>
        <v/>
      </c>
      <c r="K123" s="32" t="str">
        <f>IF(B122&lt;'Умови та класичний графік'!$J$13,((I122*'Умови та класичний графік'!$J$22)/365)*F123,"")</f>
        <v/>
      </c>
      <c r="L123" s="30" t="str">
        <f>IF(B122&lt;'Умови та класичний графік'!$J$13,SUM(M123:V123),"")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графік'!$J$13,XIRR($G$36:G123,$C$36:C123,0),"")</f>
        <v/>
      </c>
      <c r="X123" s="42"/>
      <c r="Y123" s="35"/>
    </row>
    <row r="124" spans="2:25" hidden="1" x14ac:dyDescent="0.2">
      <c r="B124" s="25">
        <v>88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99" t="str">
        <f>IF(B123&lt;'Умови та класичний графік'!$J$13,J124+K124+L124,"")</f>
        <v/>
      </c>
      <c r="H124" s="100"/>
      <c r="I124" s="32" t="str">
        <f>IF(B123&lt;'Умови та класичний графік'!$J$13,I123-J124,"")</f>
        <v/>
      </c>
      <c r="J124" s="32" t="str">
        <f>IF(B123&lt;'Умови та класичний графік'!$J$13,J123,"")</f>
        <v/>
      </c>
      <c r="K124" s="32" t="str">
        <f>IF(B123&lt;'Умови та класичний графік'!$J$13,((I123*'Умови та класичний графік'!$J$22)/365)*F124,"")</f>
        <v/>
      </c>
      <c r="L124" s="30" t="str">
        <f>IF(B123&lt;'Умови та класичний графік'!$J$13,SUM(M124:V124),"")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графік'!$J$13,XIRR($G$36:G124,$C$36:C124,0),"")</f>
        <v/>
      </c>
      <c r="X124" s="42"/>
      <c r="Y124" s="35"/>
    </row>
    <row r="125" spans="2:25" hidden="1" x14ac:dyDescent="0.2">
      <c r="B125" s="25">
        <v>89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99" t="str">
        <f>IF(B124&lt;'Умови та класичний графік'!$J$13,J125+K125+L125,"")</f>
        <v/>
      </c>
      <c r="H125" s="100"/>
      <c r="I125" s="32" t="str">
        <f>IF(B124&lt;'Умови та класичний графік'!$J$13,I124-J125,"")</f>
        <v/>
      </c>
      <c r="J125" s="32" t="str">
        <f>IF(B124&lt;'Умови та класичний графік'!$J$13,J124,"")</f>
        <v/>
      </c>
      <c r="K125" s="32" t="str">
        <f>IF(B124&lt;'Умови та класичний графік'!$J$13,((I124*'Умови та класичний графік'!$J$22)/365)*F125,"")</f>
        <v/>
      </c>
      <c r="L125" s="30" t="str">
        <f>IF(B124&lt;'Умови та класичний графік'!$J$13,SUM(M125:V125),"")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графік'!$J$13,XIRR($G$36:G125,$C$36:C125,0),"")</f>
        <v/>
      </c>
      <c r="X125" s="42"/>
      <c r="Y125" s="35"/>
    </row>
    <row r="126" spans="2:25" hidden="1" x14ac:dyDescent="0.2">
      <c r="B126" s="25">
        <v>90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99" t="str">
        <f>IF(B125&lt;'Умови та класичний графік'!$J$13,J126+K126+L126,"")</f>
        <v/>
      </c>
      <c r="H126" s="100"/>
      <c r="I126" s="32" t="str">
        <f>IF(B125&lt;'Умови та класичний графік'!$J$13,I125-J126,"")</f>
        <v/>
      </c>
      <c r="J126" s="32" t="str">
        <f>IF(B125&lt;'Умови та класичний графік'!$J$13,J125,"")</f>
        <v/>
      </c>
      <c r="K126" s="32" t="str">
        <f>IF(B125&lt;'Умови та класичний графік'!$J$13,((I125*'Умови та класичний графік'!$J$22)/365)*F126,"")</f>
        <v/>
      </c>
      <c r="L126" s="30" t="str">
        <f>IF(B125&lt;'Умови та класичний графік'!$J$13,SUM(M126:V126),"")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графік'!$J$13,XIRR($G$36:G126,$C$36:C126,0),"")</f>
        <v/>
      </c>
      <c r="X126" s="42"/>
      <c r="Y126" s="35"/>
    </row>
    <row r="127" spans="2:25" hidden="1" x14ac:dyDescent="0.2">
      <c r="B127" s="25">
        <v>91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99" t="str">
        <f>IF(B126&lt;'Умови та класичний графік'!$J$13,J127+K127+L127,"")</f>
        <v/>
      </c>
      <c r="H127" s="100"/>
      <c r="I127" s="32" t="str">
        <f>IF(B126&lt;'Умови та класичний графік'!$J$13,I126-J127,"")</f>
        <v/>
      </c>
      <c r="J127" s="32" t="str">
        <f>IF(B126&lt;'Умови та класичний графік'!$J$13,J126,"")</f>
        <v/>
      </c>
      <c r="K127" s="32" t="str">
        <f>IF(B126&lt;'Умови та класичний графік'!$J$13,((I126*'Умови та класичний графік'!$J$22)/365)*F127,"")</f>
        <v/>
      </c>
      <c r="L127" s="30" t="str">
        <f>IF(B126&lt;'Умови та класичний графік'!$J$13,SUM(M127:V127),"")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графік'!$J$13,XIRR($G$36:G127,$C$36:C127,0),"")</f>
        <v/>
      </c>
      <c r="X127" s="42"/>
      <c r="Y127" s="35"/>
    </row>
    <row r="128" spans="2:25" hidden="1" x14ac:dyDescent="0.2">
      <c r="B128" s="25">
        <v>92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99" t="str">
        <f>IF(B127&lt;'Умови та класичний графік'!$J$13,J128+K128+L128,"")</f>
        <v/>
      </c>
      <c r="H128" s="100"/>
      <c r="I128" s="32" t="str">
        <f>IF(B127&lt;'Умови та класичний графік'!$J$13,I127-J128,"")</f>
        <v/>
      </c>
      <c r="J128" s="32" t="str">
        <f>IF(B127&lt;'Умови та класичний графік'!$J$13,J127,"")</f>
        <v/>
      </c>
      <c r="K128" s="32" t="str">
        <f>IF(B127&lt;'Умови та класичний графік'!$J$13,((I127*'Умови та класичний графік'!$J$22)/365)*F128,"")</f>
        <v/>
      </c>
      <c r="L128" s="30" t="str">
        <f>IF(B127&lt;'Умови та класичний графік'!$J$13,SUM(M128:V128),"")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графік'!$J$13,XIRR($G$36:G128,$C$36:C128,0),"")</f>
        <v/>
      </c>
      <c r="X128" s="42"/>
      <c r="Y128" s="35"/>
    </row>
    <row r="129" spans="2:25" hidden="1" x14ac:dyDescent="0.2">
      <c r="B129" s="25">
        <v>93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99" t="str">
        <f>IF(B128&lt;'Умови та класичний графік'!$J$13,J129+K129+L129,"")</f>
        <v/>
      </c>
      <c r="H129" s="100"/>
      <c r="I129" s="32" t="str">
        <f>IF(B128&lt;'Умови та класичний графік'!$J$13,I128-J129,"")</f>
        <v/>
      </c>
      <c r="J129" s="32" t="str">
        <f>IF(B128&lt;'Умови та класичний графік'!$J$13,J128,"")</f>
        <v/>
      </c>
      <c r="K129" s="32" t="str">
        <f>IF(B128&lt;'Умови та класичний графік'!$J$13,((I128*'Умови та класичний графік'!$J$22)/365)*F129,"")</f>
        <v/>
      </c>
      <c r="L129" s="30" t="str">
        <f>IF(B128&lt;'Умови та класичний графік'!$J$13,SUM(M129:V129),"")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графік'!$J$13,XIRR($G$36:G129,$C$36:C129,0),"")</f>
        <v/>
      </c>
      <c r="X129" s="42"/>
      <c r="Y129" s="35"/>
    </row>
    <row r="130" spans="2:25" hidden="1" x14ac:dyDescent="0.2">
      <c r="B130" s="25">
        <v>94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99" t="str">
        <f>IF(B129&lt;'Умови та класичний графік'!$J$13,J130+K130+L130,"")</f>
        <v/>
      </c>
      <c r="H130" s="100"/>
      <c r="I130" s="32" t="str">
        <f>IF(B129&lt;'Умови та класичний графік'!$J$13,I129-J130,"")</f>
        <v/>
      </c>
      <c r="J130" s="32" t="str">
        <f>IF(B129&lt;'Умови та класичний графік'!$J$13,J129,"")</f>
        <v/>
      </c>
      <c r="K130" s="32" t="str">
        <f>IF(B129&lt;'Умови та класичний графік'!$J$13,((I129*'Умови та класичний графік'!$J$22)/365)*F130,"")</f>
        <v/>
      </c>
      <c r="L130" s="30" t="str">
        <f>IF(B129&lt;'Умови та класичний графік'!$J$13,SUM(M130:V130),"")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графік'!$J$13,XIRR($G$36:G130,$C$36:C130,0),"")</f>
        <v/>
      </c>
      <c r="X130" s="42"/>
      <c r="Y130" s="35"/>
    </row>
    <row r="131" spans="2:25" hidden="1" x14ac:dyDescent="0.2">
      <c r="B131" s="25">
        <v>95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99" t="str">
        <f>IF(B130&lt;'Умови та класичний графік'!$J$13,J131+K131+L131,"")</f>
        <v/>
      </c>
      <c r="H131" s="100"/>
      <c r="I131" s="32" t="str">
        <f>IF(B130&lt;'Умови та класичний графік'!$J$13,I130-J131,"")</f>
        <v/>
      </c>
      <c r="J131" s="32" t="str">
        <f>IF(B130&lt;'Умови та класичний графік'!$J$13,J130,"")</f>
        <v/>
      </c>
      <c r="K131" s="32" t="str">
        <f>IF(B130&lt;'Умови та класичний графік'!$J$13,((I130*'Умови та класичний графік'!$J$22)/365)*F131,"")</f>
        <v/>
      </c>
      <c r="L131" s="30" t="str">
        <f>IF(B130&lt;'Умови та класичний графік'!$J$13,SUM(M131:V131),"")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графік'!$J$13,XIRR($G$36:G131,$C$36:C131,0),"")</f>
        <v/>
      </c>
      <c r="X131" s="42"/>
      <c r="Y131" s="35"/>
    </row>
    <row r="132" spans="2:25" hidden="1" x14ac:dyDescent="0.2">
      <c r="B132" s="25">
        <v>96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99" t="str">
        <f>IF(B131&lt;'Умови та класичний графік'!$J$13,J132+K132+L132,"")</f>
        <v/>
      </c>
      <c r="H132" s="100"/>
      <c r="I132" s="32" t="str">
        <f>IF(B131&lt;'Умови та класичний графік'!$J$13,I131-J132,"")</f>
        <v/>
      </c>
      <c r="J132" s="32" t="str">
        <f>IF(B131&lt;'Умови та класичний графік'!$J$13,J131,"")</f>
        <v/>
      </c>
      <c r="K132" s="32" t="str">
        <f>IF(B131&lt;'Умови та класичний графік'!$J$13,((I131*'Умови та класичний графік'!$J$22)/365)*F132,"")</f>
        <v/>
      </c>
      <c r="L132" s="30" t="str">
        <f>IF(B131&lt;'Умови та класичний графік'!$J$13,SUM(M132:V132),"")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графік'!$J$13,('Умови та класичний графік'!$J$14*$N$19)+(I132*$N$20),"")</f>
        <v/>
      </c>
      <c r="V132" s="41"/>
      <c r="W132" s="43" t="str">
        <f>IF(B131&lt;'Умови та класичний графік'!$J$13,XIRR($G$36:G132,$C$36:C132,0),"")</f>
        <v/>
      </c>
      <c r="X132" s="42"/>
      <c r="Y132" s="35"/>
    </row>
    <row r="133" spans="2:25" hidden="1" x14ac:dyDescent="0.2">
      <c r="B133" s="25">
        <v>97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99" t="str">
        <f>IF(B132&lt;'Умови та класичний графік'!$J$13,J133+K133+L133,"")</f>
        <v/>
      </c>
      <c r="H133" s="100"/>
      <c r="I133" s="32" t="str">
        <f>IF(B132&lt;'Умови та класичний графік'!$J$13,I132-J133,"")</f>
        <v/>
      </c>
      <c r="J133" s="32" t="str">
        <f>IF(B132&lt;'Умови та класичний графік'!$J$13,J132,"")</f>
        <v/>
      </c>
      <c r="K133" s="32" t="str">
        <f>IF(B132&lt;'Умови та класичний графік'!$J$13,((I132*'Умови та класичний графік'!$J$22)/365)*F133,"")</f>
        <v/>
      </c>
      <c r="L133" s="30" t="str">
        <f>IF(B132&lt;'Умови та класичний графік'!$J$13,SUM(M133:V133),"")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графік'!$J$13,XIRR($G$36:G133,$C$36:C133,0),"")</f>
        <v/>
      </c>
      <c r="X133" s="42"/>
      <c r="Y133" s="35"/>
    </row>
    <row r="134" spans="2:25" hidden="1" x14ac:dyDescent="0.2">
      <c r="B134" s="25">
        <v>98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99" t="str">
        <f>IF(B133&lt;'Умови та класичний графік'!$J$13,J134+K134+L134,"")</f>
        <v/>
      </c>
      <c r="H134" s="100"/>
      <c r="I134" s="32" t="str">
        <f>IF(B133&lt;'Умови та класичний графік'!$J$13,I133-J134,"")</f>
        <v/>
      </c>
      <c r="J134" s="32" t="str">
        <f>IF(B133&lt;'Умови та класичний графік'!$J$13,J133,"")</f>
        <v/>
      </c>
      <c r="K134" s="32" t="str">
        <f>IF(B133&lt;'Умови та класичний графік'!$J$13,((I133*'Умови та класичний графік'!$J$22)/365)*F134,"")</f>
        <v/>
      </c>
      <c r="L134" s="30" t="str">
        <f>IF(B133&lt;'Умови та класичний графік'!$J$13,SUM(M134:V134),"")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графік'!$J$13,XIRR($G$36:G134,$C$36:C134,0),"")</f>
        <v/>
      </c>
      <c r="X134" s="42"/>
      <c r="Y134" s="35"/>
    </row>
    <row r="135" spans="2:25" hidden="1" x14ac:dyDescent="0.2">
      <c r="B135" s="25">
        <v>99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99" t="str">
        <f>IF(B134&lt;'Умови та класичний графік'!$J$13,J135+K135+L135,"")</f>
        <v/>
      </c>
      <c r="H135" s="100"/>
      <c r="I135" s="32" t="str">
        <f>IF(B134&lt;'Умови та класичний графік'!$J$13,I134-J135,"")</f>
        <v/>
      </c>
      <c r="J135" s="32" t="str">
        <f>IF(B134&lt;'Умови та класичний графік'!$J$13,J134,"")</f>
        <v/>
      </c>
      <c r="K135" s="32" t="str">
        <f>IF(B134&lt;'Умови та класичний графік'!$J$13,((I134*'Умови та класичний графік'!$J$22)/365)*F135,"")</f>
        <v/>
      </c>
      <c r="L135" s="30" t="str">
        <f>IF(B134&lt;'Умови та класичний графік'!$J$13,SUM(M135:V135),"")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графік'!$J$13,XIRR($G$36:G135,$C$36:C135,0),"")</f>
        <v/>
      </c>
      <c r="X135" s="42"/>
      <c r="Y135" s="35"/>
    </row>
    <row r="136" spans="2:25" hidden="1" x14ac:dyDescent="0.2">
      <c r="B136" s="25">
        <v>100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99" t="str">
        <f>IF(B135&lt;'Умови та класичний графік'!$J$13,J136+K136+L136,"")</f>
        <v/>
      </c>
      <c r="H136" s="100"/>
      <c r="I136" s="32" t="str">
        <f>IF(B135&lt;'Умови та класичний графік'!$J$13,I135-J136,"")</f>
        <v/>
      </c>
      <c r="J136" s="32" t="str">
        <f>IF(B135&lt;'Умови та класичний графік'!$J$13,J135,"")</f>
        <v/>
      </c>
      <c r="K136" s="32" t="str">
        <f>IF(B135&lt;'Умови та класичний графік'!$J$13,((I135*'Умови та класичний графік'!$J$22)/365)*F136,"")</f>
        <v/>
      </c>
      <c r="L136" s="30" t="str">
        <f>IF(B135&lt;'Умови та класичний графік'!$J$13,SUM(M136:V136),"")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графік'!$J$13,XIRR($G$36:G136,$C$36:C136,0),"")</f>
        <v/>
      </c>
      <c r="X136" s="42"/>
      <c r="Y136" s="35"/>
    </row>
    <row r="137" spans="2:25" hidden="1" x14ac:dyDescent="0.2">
      <c r="B137" s="25">
        <v>101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99" t="str">
        <f>IF(B136&lt;'Умови та класичний графік'!$J$13,J137+K137+L137,"")</f>
        <v/>
      </c>
      <c r="H137" s="100"/>
      <c r="I137" s="32" t="str">
        <f>IF(B136&lt;'Умови та класичний графік'!$J$13,I136-J137,"")</f>
        <v/>
      </c>
      <c r="J137" s="32" t="str">
        <f>IF(B136&lt;'Умови та класичний графік'!$J$13,J136,"")</f>
        <v/>
      </c>
      <c r="K137" s="32" t="str">
        <f>IF(B136&lt;'Умови та класичний графік'!$J$13,((I136*'Умови та класичний графік'!$J$22)/365)*F137,"")</f>
        <v/>
      </c>
      <c r="L137" s="30" t="str">
        <f>IF(B136&lt;'Умови та класичний графік'!$J$13,SUM(M137:V137),"")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графік'!$J$13,XIRR($G$36:G137,$C$36:C137,0),"")</f>
        <v/>
      </c>
      <c r="X137" s="42"/>
      <c r="Y137" s="35"/>
    </row>
    <row r="138" spans="2:25" hidden="1" x14ac:dyDescent="0.2">
      <c r="B138" s="25">
        <v>102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99" t="str">
        <f>IF(B137&lt;'Умови та класичний графік'!$J$13,J138+K138+L138,"")</f>
        <v/>
      </c>
      <c r="H138" s="100"/>
      <c r="I138" s="32" t="str">
        <f>IF(B137&lt;'Умови та класичний графік'!$J$13,I137-J138,"")</f>
        <v/>
      </c>
      <c r="J138" s="32" t="str">
        <f>IF(B137&lt;'Умови та класичний графік'!$J$13,J137,"")</f>
        <v/>
      </c>
      <c r="K138" s="32" t="str">
        <f>IF(B137&lt;'Умови та класичний графік'!$J$13,((I137*'Умови та класичний графік'!$J$22)/365)*F138,"")</f>
        <v/>
      </c>
      <c r="L138" s="30" t="str">
        <f>IF(B137&lt;'Умови та класичний графік'!$J$13,SUM(M138:V138),"")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графік'!$J$13,XIRR($G$36:G138,$C$36:C138,0),"")</f>
        <v/>
      </c>
      <c r="X138" s="42"/>
      <c r="Y138" s="35"/>
    </row>
    <row r="139" spans="2:25" hidden="1" x14ac:dyDescent="0.2">
      <c r="B139" s="25">
        <v>103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99" t="str">
        <f>IF(B138&lt;'Умови та класичний графік'!$J$13,J139+K139+L139,"")</f>
        <v/>
      </c>
      <c r="H139" s="100"/>
      <c r="I139" s="32" t="str">
        <f>IF(B138&lt;'Умови та класичний графік'!$J$13,I138-J139,"")</f>
        <v/>
      </c>
      <c r="J139" s="32" t="str">
        <f>IF(B138&lt;'Умови та класичний графік'!$J$13,J138,"")</f>
        <v/>
      </c>
      <c r="K139" s="32" t="str">
        <f>IF(B138&lt;'Умови та класичний графік'!$J$13,((I138*'Умови та класичний графік'!$J$22)/365)*F139,"")</f>
        <v/>
      </c>
      <c r="L139" s="30" t="str">
        <f>IF(B138&lt;'Умови та класичний графік'!$J$13,SUM(M139:V139),"")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графік'!$J$13,XIRR($G$36:G139,$C$36:C139,0),"")</f>
        <v/>
      </c>
      <c r="X139" s="42"/>
      <c r="Y139" s="35"/>
    </row>
    <row r="140" spans="2:25" hidden="1" x14ac:dyDescent="0.2">
      <c r="B140" s="25">
        <v>104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99" t="str">
        <f>IF(B139&lt;'Умови та класичний графік'!$J$13,J140+K140+L140,"")</f>
        <v/>
      </c>
      <c r="H140" s="100"/>
      <c r="I140" s="32" t="str">
        <f>IF(B139&lt;'Умови та класичний графік'!$J$13,I139-J140,"")</f>
        <v/>
      </c>
      <c r="J140" s="32" t="str">
        <f>IF(B139&lt;'Умови та класичний графік'!$J$13,J139,"")</f>
        <v/>
      </c>
      <c r="K140" s="32" t="str">
        <f>IF(B139&lt;'Умови та класичний графік'!$J$13,((I139*'Умови та класичний графік'!$J$22)/365)*F140,"")</f>
        <v/>
      </c>
      <c r="L140" s="30" t="str">
        <f>IF(B139&lt;'Умови та класичний графік'!$J$13,SUM(M140:V140),"")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графік'!$J$13,XIRR($G$36:G140,$C$36:C140,0),"")</f>
        <v/>
      </c>
      <c r="X140" s="42"/>
      <c r="Y140" s="35"/>
    </row>
    <row r="141" spans="2:25" hidden="1" x14ac:dyDescent="0.2">
      <c r="B141" s="25">
        <v>105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99" t="str">
        <f>IF(B140&lt;'Умови та класичний графік'!$J$13,J141+K141+L141,"")</f>
        <v/>
      </c>
      <c r="H141" s="100"/>
      <c r="I141" s="32" t="str">
        <f>IF(B140&lt;'Умови та класичний графік'!$J$13,I140-J141,"")</f>
        <v/>
      </c>
      <c r="J141" s="32" t="str">
        <f>IF(B140&lt;'Умови та класичний графік'!$J$13,J140,"")</f>
        <v/>
      </c>
      <c r="K141" s="32" t="str">
        <f>IF(B140&lt;'Умови та класичний графік'!$J$13,((I140*'Умови та класичний графік'!$J$22)/365)*F141,"")</f>
        <v/>
      </c>
      <c r="L141" s="30" t="str">
        <f>IF(B140&lt;'Умови та класичний графік'!$J$13,SUM(M141:V141),"")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графік'!$J$13,XIRR($G$36:G141,$C$36:C141,0),"")</f>
        <v/>
      </c>
      <c r="X141" s="42"/>
      <c r="Y141" s="35"/>
    </row>
    <row r="142" spans="2:25" hidden="1" x14ac:dyDescent="0.2">
      <c r="B142" s="25">
        <v>106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99" t="str">
        <f>IF(B141&lt;'Умови та класичний графік'!$J$13,J142+K142+L142,"")</f>
        <v/>
      </c>
      <c r="H142" s="100"/>
      <c r="I142" s="32" t="str">
        <f>IF(B141&lt;'Умови та класичний графік'!$J$13,I141-J142,"")</f>
        <v/>
      </c>
      <c r="J142" s="32" t="str">
        <f>IF(B141&lt;'Умови та класичний графік'!$J$13,J141,"")</f>
        <v/>
      </c>
      <c r="K142" s="32" t="str">
        <f>IF(B141&lt;'Умови та класичний графік'!$J$13,((I141*'Умови та класичний графік'!$J$22)/365)*F142,"")</f>
        <v/>
      </c>
      <c r="L142" s="30" t="str">
        <f>IF(B141&lt;'Умови та класичний графік'!$J$13,SUM(M142:V142),"")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графік'!$J$13,XIRR($G$36:G142,$C$36:C142,0),"")</f>
        <v/>
      </c>
      <c r="X142" s="42"/>
      <c r="Y142" s="35"/>
    </row>
    <row r="143" spans="2:25" hidden="1" x14ac:dyDescent="0.2">
      <c r="B143" s="25">
        <v>107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99" t="str">
        <f>IF(B142&lt;'Умови та класичний графік'!$J$13,J143+K143+L143,"")</f>
        <v/>
      </c>
      <c r="H143" s="100"/>
      <c r="I143" s="32" t="str">
        <f>IF(B142&lt;'Умови та класичний графік'!$J$13,I142-J143,"")</f>
        <v/>
      </c>
      <c r="J143" s="32" t="str">
        <f>IF(B142&lt;'Умови та класичний графік'!$J$13,J142,"")</f>
        <v/>
      </c>
      <c r="K143" s="32" t="str">
        <f>IF(B142&lt;'Умови та класичний графік'!$J$13,((I142*'Умови та класичний графік'!$J$22)/365)*F143,"")</f>
        <v/>
      </c>
      <c r="L143" s="30" t="str">
        <f>IF(B142&lt;'Умови та класичний графік'!$J$13,SUM(M143:V143),"")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графік'!$J$13,XIRR($G$36:G143,$C$36:C143,0),"")</f>
        <v/>
      </c>
      <c r="X143" s="42"/>
      <c r="Y143" s="35"/>
    </row>
    <row r="144" spans="2:25" hidden="1" x14ac:dyDescent="0.2">
      <c r="B144" s="25">
        <v>108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99" t="str">
        <f>IF(B143&lt;'Умови та класичний графік'!$J$13,J144+K144+L144,"")</f>
        <v/>
      </c>
      <c r="H144" s="100"/>
      <c r="I144" s="32" t="str">
        <f>IF(B143&lt;'Умови та класичний графік'!$J$13,I143-J144,"")</f>
        <v/>
      </c>
      <c r="J144" s="32" t="str">
        <f>IF(B143&lt;'Умови та класичний графік'!$J$13,J143,"")</f>
        <v/>
      </c>
      <c r="K144" s="32" t="str">
        <f>IF(B143&lt;'Умови та класичний графік'!$J$13,((I143*'Умови та класичний графік'!$J$22)/365)*F144,"")</f>
        <v/>
      </c>
      <c r="L144" s="30" t="str">
        <f>IF(B143&lt;'Умови та класичний графік'!$J$13,SUM(M144:V144),"")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графік'!$J$13,('Умови та класичний графік'!$J$14*$N$19)+(I144*$N$20),"")</f>
        <v/>
      </c>
      <c r="V144" s="41"/>
      <c r="W144" s="43" t="str">
        <f>IF(B143&lt;'Умови та класичний графік'!$J$13,XIRR($G$36:G144,$C$36:C144,0),"")</f>
        <v/>
      </c>
      <c r="X144" s="42"/>
      <c r="Y144" s="35"/>
    </row>
    <row r="145" spans="2:25" hidden="1" x14ac:dyDescent="0.2">
      <c r="B145" s="25">
        <v>109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99" t="str">
        <f>IF(B144&lt;'Умови та класичний графік'!$J$13,J145+K145+L145,"")</f>
        <v/>
      </c>
      <c r="H145" s="100"/>
      <c r="I145" s="32" t="str">
        <f>IF(B144&lt;'Умови та класичний графік'!$J$13,I144-J145,"")</f>
        <v/>
      </c>
      <c r="J145" s="32" t="str">
        <f>IF(B144&lt;'Умови та класичний графік'!$J$13,J144,"")</f>
        <v/>
      </c>
      <c r="K145" s="32" t="str">
        <f>IF(B144&lt;'Умови та класичний графік'!$J$13,((I144*'Умови та класичний графік'!$J$22)/365)*F145,"")</f>
        <v/>
      </c>
      <c r="L145" s="30" t="str">
        <f>IF(B144&lt;'Умови та класичний графік'!$J$13,SUM(M145:V145),"")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графік'!$J$13,XIRR($G$36:G145,$C$36:C145,0),"")</f>
        <v/>
      </c>
      <c r="X145" s="42"/>
      <c r="Y145" s="35"/>
    </row>
    <row r="146" spans="2:25" hidden="1" x14ac:dyDescent="0.2">
      <c r="B146" s="25">
        <v>110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99" t="str">
        <f>IF(B145&lt;'Умови та класичний графік'!$J$13,J146+K146+L146,"")</f>
        <v/>
      </c>
      <c r="H146" s="100"/>
      <c r="I146" s="32" t="str">
        <f>IF(B145&lt;'Умови та класичний графік'!$J$13,I145-J146,"")</f>
        <v/>
      </c>
      <c r="J146" s="32" t="str">
        <f>IF(B145&lt;'Умови та класичний графік'!$J$13,J145,"")</f>
        <v/>
      </c>
      <c r="K146" s="32" t="str">
        <f>IF(B145&lt;'Умови та класичний графік'!$J$13,((I145*'Умови та класичний графік'!$J$22)/365)*F146,"")</f>
        <v/>
      </c>
      <c r="L146" s="30" t="str">
        <f>IF(B145&lt;'Умови та класичний графік'!$J$13,SUM(M146:V146),"")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графік'!$J$13,XIRR($G$36:G146,$C$36:C146,0),"")</f>
        <v/>
      </c>
      <c r="X146" s="42"/>
      <c r="Y146" s="35"/>
    </row>
    <row r="147" spans="2:25" hidden="1" x14ac:dyDescent="0.2">
      <c r="B147" s="25">
        <v>111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99" t="str">
        <f>IF(B146&lt;'Умови та класичний графік'!$J$13,J147+K147+L147,"")</f>
        <v/>
      </c>
      <c r="H147" s="100"/>
      <c r="I147" s="32" t="str">
        <f>IF(B146&lt;'Умови та класичний графік'!$J$13,I146-J147,"")</f>
        <v/>
      </c>
      <c r="J147" s="32" t="str">
        <f>IF(B146&lt;'Умови та класичний графік'!$J$13,J146,"")</f>
        <v/>
      </c>
      <c r="K147" s="32" t="str">
        <f>IF(B146&lt;'Умови та класичний графік'!$J$13,((I146*'Умови та класичний графік'!$J$22)/365)*F147,"")</f>
        <v/>
      </c>
      <c r="L147" s="30" t="str">
        <f>IF(B146&lt;'Умови та класичний графік'!$J$13,SUM(M147:V147),"")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графік'!$J$13,XIRR($G$36:G147,$C$36:C147,0),"")</f>
        <v/>
      </c>
      <c r="X147" s="42"/>
      <c r="Y147" s="35"/>
    </row>
    <row r="148" spans="2:25" hidden="1" x14ac:dyDescent="0.2">
      <c r="B148" s="25">
        <v>112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99" t="str">
        <f>IF(B147&lt;'Умови та класичний графік'!$J$13,J148+K148+L148,"")</f>
        <v/>
      </c>
      <c r="H148" s="100"/>
      <c r="I148" s="32" t="str">
        <f>IF(B147&lt;'Умови та класичний графік'!$J$13,I147-J148,"")</f>
        <v/>
      </c>
      <c r="J148" s="32" t="str">
        <f>IF(B147&lt;'Умови та класичний графік'!$J$13,J147,"")</f>
        <v/>
      </c>
      <c r="K148" s="32" t="str">
        <f>IF(B147&lt;'Умови та класичний графік'!$J$13,((I147*'Умови та класичний графік'!$J$22)/365)*F148,"")</f>
        <v/>
      </c>
      <c r="L148" s="30" t="str">
        <f>IF(B147&lt;'Умови та класичний графік'!$J$13,SUM(M148:V148),"")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графік'!$J$13,XIRR($G$36:G148,$C$36:C148,0),"")</f>
        <v/>
      </c>
      <c r="X148" s="42"/>
      <c r="Y148" s="35"/>
    </row>
    <row r="149" spans="2:25" hidden="1" x14ac:dyDescent="0.2">
      <c r="B149" s="25">
        <v>113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99" t="str">
        <f>IF(B148&lt;'Умови та класичний графік'!$J$13,J149+K149+L149,"")</f>
        <v/>
      </c>
      <c r="H149" s="100"/>
      <c r="I149" s="32" t="str">
        <f>IF(B148&lt;'Умови та класичний графік'!$J$13,I148-J149,"")</f>
        <v/>
      </c>
      <c r="J149" s="32" t="str">
        <f>IF(B148&lt;'Умови та класичний графік'!$J$13,J148,"")</f>
        <v/>
      </c>
      <c r="K149" s="32" t="str">
        <f>IF(B148&lt;'Умови та класичний графік'!$J$13,((I148*'Умови та класичний графік'!$J$22)/365)*F149,"")</f>
        <v/>
      </c>
      <c r="L149" s="30" t="str">
        <f>IF(B148&lt;'Умови та класичний графік'!$J$13,SUM(M149:V149),"")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графік'!$J$13,XIRR($G$36:G149,$C$36:C149,0),"")</f>
        <v/>
      </c>
      <c r="X149" s="42"/>
      <c r="Y149" s="35"/>
    </row>
    <row r="150" spans="2:25" hidden="1" x14ac:dyDescent="0.2">
      <c r="B150" s="25">
        <v>114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99" t="str">
        <f>IF(B149&lt;'Умови та класичний графік'!$J$13,J150+K150+L150,"")</f>
        <v/>
      </c>
      <c r="H150" s="100"/>
      <c r="I150" s="32" t="str">
        <f>IF(B149&lt;'Умови та класичний графік'!$J$13,I149-J150,"")</f>
        <v/>
      </c>
      <c r="J150" s="32" t="str">
        <f>IF(B149&lt;'Умови та класичний графік'!$J$13,J149,"")</f>
        <v/>
      </c>
      <c r="K150" s="32" t="str">
        <f>IF(B149&lt;'Умови та класичний графік'!$J$13,((I149*'Умови та класичний графік'!$J$22)/365)*F150,"")</f>
        <v/>
      </c>
      <c r="L150" s="30" t="str">
        <f>IF(B149&lt;'Умови та класичний графік'!$J$13,SUM(M150:V150),"")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графік'!$J$13,XIRR($G$36:G150,$C$36:C150,0),"")</f>
        <v/>
      </c>
      <c r="X150" s="42"/>
      <c r="Y150" s="35"/>
    </row>
    <row r="151" spans="2:25" hidden="1" x14ac:dyDescent="0.2">
      <c r="B151" s="25">
        <v>115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99" t="str">
        <f>IF(B150&lt;'Умови та класичний графік'!$J$13,J151+K151+L151,"")</f>
        <v/>
      </c>
      <c r="H151" s="100"/>
      <c r="I151" s="32" t="str">
        <f>IF(B150&lt;'Умови та класичний графік'!$J$13,I150-J151,"")</f>
        <v/>
      </c>
      <c r="J151" s="32" t="str">
        <f>IF(B150&lt;'Умови та класичний графік'!$J$13,J150,"")</f>
        <v/>
      </c>
      <c r="K151" s="32" t="str">
        <f>IF(B150&lt;'Умови та класичний графік'!$J$13,((I150*'Умови та класичний графік'!$J$22)/365)*F151,"")</f>
        <v/>
      </c>
      <c r="L151" s="30" t="str">
        <f>IF(B150&lt;'Умови та класичний графік'!$J$13,SUM(M151:V151),"")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графік'!$J$13,XIRR($G$36:G151,$C$36:C151,0),"")</f>
        <v/>
      </c>
      <c r="X151" s="42"/>
      <c r="Y151" s="35"/>
    </row>
    <row r="152" spans="2:25" hidden="1" x14ac:dyDescent="0.2">
      <c r="B152" s="25">
        <v>116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99" t="str">
        <f>IF(B151&lt;'Умови та класичний графік'!$J$13,J152+K152+L152,"")</f>
        <v/>
      </c>
      <c r="H152" s="100"/>
      <c r="I152" s="32" t="str">
        <f>IF(B151&lt;'Умови та класичний графік'!$J$13,I151-J152,"")</f>
        <v/>
      </c>
      <c r="J152" s="32" t="str">
        <f>IF(B151&lt;'Умови та класичний графік'!$J$13,J151,"")</f>
        <v/>
      </c>
      <c r="K152" s="32" t="str">
        <f>IF(B151&lt;'Умови та класичний графік'!$J$13,((I151*'Умови та класичний графік'!$J$22)/365)*F152,"")</f>
        <v/>
      </c>
      <c r="L152" s="30" t="str">
        <f>IF(B151&lt;'Умови та класичний графік'!$J$13,SUM(M152:V152),"")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графік'!$J$13,XIRR($G$36:G152,$C$36:C152,0),"")</f>
        <v/>
      </c>
      <c r="X152" s="42"/>
      <c r="Y152" s="35"/>
    </row>
    <row r="153" spans="2:25" hidden="1" x14ac:dyDescent="0.2">
      <c r="B153" s="25">
        <v>117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99" t="str">
        <f>IF(B152&lt;'Умови та класичний графік'!$J$13,J153+K153+L153,"")</f>
        <v/>
      </c>
      <c r="H153" s="100"/>
      <c r="I153" s="32" t="str">
        <f>IF(B152&lt;'Умови та класичний графік'!$J$13,I152-J153,"")</f>
        <v/>
      </c>
      <c r="J153" s="32" t="str">
        <f>IF(B152&lt;'Умови та класичний графік'!$J$13,J152,"")</f>
        <v/>
      </c>
      <c r="K153" s="32" t="str">
        <f>IF(B152&lt;'Умови та класичний графік'!$J$13,((I152*'Умови та класичний графік'!$J$22)/365)*F153,"")</f>
        <v/>
      </c>
      <c r="L153" s="30" t="str">
        <f>IF(B152&lt;'Умови та класичний графік'!$J$13,SUM(M153:V153),"")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графік'!$J$13,XIRR($G$36:G153,$C$36:C153,0),"")</f>
        <v/>
      </c>
      <c r="X153" s="42"/>
      <c r="Y153" s="35"/>
    </row>
    <row r="154" spans="2:25" hidden="1" x14ac:dyDescent="0.2">
      <c r="B154" s="25">
        <v>118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99" t="str">
        <f>IF(B153&lt;'Умови та класичний графік'!$J$13,J154+K154+L154,"")</f>
        <v/>
      </c>
      <c r="H154" s="100"/>
      <c r="I154" s="32" t="str">
        <f>IF(B153&lt;'Умови та класичний графік'!$J$13,I153-J154,"")</f>
        <v/>
      </c>
      <c r="J154" s="32" t="str">
        <f>IF(B153&lt;'Умови та класичний графік'!$J$13,J153,"")</f>
        <v/>
      </c>
      <c r="K154" s="32" t="str">
        <f>IF(B153&lt;'Умови та класичний графік'!$J$13,((I153*'Умови та класичний графік'!$J$22)/365)*F154,"")</f>
        <v/>
      </c>
      <c r="L154" s="30" t="str">
        <f>IF(B153&lt;'Умови та класичний графік'!$J$13,SUM(M154:V154),"")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графік'!$J$13,XIRR($G$36:G154,$C$36:C154,0),"")</f>
        <v/>
      </c>
      <c r="X154" s="42"/>
      <c r="Y154" s="35"/>
    </row>
    <row r="155" spans="2:25" hidden="1" x14ac:dyDescent="0.2">
      <c r="B155" s="25">
        <v>119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99" t="str">
        <f>IF(B154&lt;'Умови та класичний графік'!$J$13,J155+K155+L155,"")</f>
        <v/>
      </c>
      <c r="H155" s="100"/>
      <c r="I155" s="32" t="str">
        <f>IF(B154&lt;'Умови та класичний графік'!$J$13,I154-J155,"")</f>
        <v/>
      </c>
      <c r="J155" s="32" t="str">
        <f>IF(B154&lt;'Умови та класичний графік'!$J$13,J154,"")</f>
        <v/>
      </c>
      <c r="K155" s="32" t="str">
        <f>IF(B154&lt;'Умови та класичний графік'!$J$13,((I154*'Умови та класичний графік'!$J$22)/365)*F155,"")</f>
        <v/>
      </c>
      <c r="L155" s="30" t="str">
        <f>IF(B154&lt;'Умови та класичний графік'!$J$13,SUM(M155:V155),"")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графік'!$J$13,XIRR($G$36:G155,$C$36:C155,0),"")</f>
        <v/>
      </c>
      <c r="X155" s="42"/>
      <c r="Y155" s="35"/>
    </row>
    <row r="156" spans="2:25" hidden="1" x14ac:dyDescent="0.2">
      <c r="B156" s="25">
        <v>120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99" t="str">
        <f>IF(B155&lt;'Умови та класичний графік'!$J$13,J156+K156+L156,"")</f>
        <v/>
      </c>
      <c r="H156" s="100"/>
      <c r="I156" s="32" t="str">
        <f>IF(B155&lt;'Умови та класичний графік'!$J$13,I155-J156,"")</f>
        <v/>
      </c>
      <c r="J156" s="32" t="str">
        <f>IF(B155&lt;'Умови та класичний графік'!$J$13,J155,"")</f>
        <v/>
      </c>
      <c r="K156" s="32" t="str">
        <f>IF(B155&lt;'Умови та класичний графік'!$J$13,((I155*'Умови та класичний графік'!$J$22)/365)*F156,"")</f>
        <v/>
      </c>
      <c r="L156" s="30" t="str">
        <f>IF(B155&lt;'Умови та класичний графік'!$J$13,SUM(M156:V156),"")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графік'!$J$13,('Умови та класичний графік'!$J$14*$N$19)+(I156*$N$20),"")</f>
        <v/>
      </c>
      <c r="V156" s="41"/>
      <c r="W156" s="43" t="str">
        <f>IF(B155&lt;'Умови та класичний графік'!$J$13,XIRR($G$36:G156,$C$36:C156,0),"")</f>
        <v/>
      </c>
      <c r="X156" s="42"/>
      <c r="Y156" s="35"/>
    </row>
    <row r="157" spans="2:25" hidden="1" x14ac:dyDescent="0.2">
      <c r="B157" s="25">
        <v>121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99" t="str">
        <f>IF(B156&lt;'Умови та класичний графік'!$J$13,J157+K157+L157,"")</f>
        <v/>
      </c>
      <c r="H157" s="100"/>
      <c r="I157" s="32" t="str">
        <f>IF(B156&lt;'Умови та класичний графік'!$J$13,I156-J157,"")</f>
        <v/>
      </c>
      <c r="J157" s="32" t="str">
        <f>IF(B156&lt;'Умови та класичний графік'!$J$13,J156,"")</f>
        <v/>
      </c>
      <c r="K157" s="32" t="str">
        <f>IF(B156&lt;'Умови та класичний графік'!$J$13,((I156*'Умови та класичний графік'!$J$22)/365)*F157,"")</f>
        <v/>
      </c>
      <c r="L157" s="30" t="str">
        <f>IF(B156&lt;'Умови та класичний графік'!$J$13,SUM(M157:V157),"")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графік'!$J$13,XIRR($G$36:G157,$C$36:C157,0),"")</f>
        <v/>
      </c>
      <c r="X157" s="42"/>
      <c r="Y157" s="35"/>
    </row>
    <row r="158" spans="2:25" hidden="1" x14ac:dyDescent="0.2">
      <c r="B158" s="25">
        <v>122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99" t="str">
        <f>IF(B157&lt;'Умови та класичний графік'!$J$13,J158+K158+L158,"")</f>
        <v/>
      </c>
      <c r="H158" s="100"/>
      <c r="I158" s="32" t="str">
        <f>IF(B157&lt;'Умови та класичний графік'!$J$13,I157-J158,"")</f>
        <v/>
      </c>
      <c r="J158" s="32" t="str">
        <f>IF(B157&lt;'Умови та класичний графік'!$J$13,J157,"")</f>
        <v/>
      </c>
      <c r="K158" s="32" t="str">
        <f>IF(B157&lt;'Умови та класичний графік'!$J$13,((I157*'Умови та класичний графік'!$J$22)/365)*F158,"")</f>
        <v/>
      </c>
      <c r="L158" s="30" t="str">
        <f>IF(B157&lt;'Умови та класичний графік'!$J$13,SUM(M158:V158),"")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графік'!$J$13,XIRR($G$36:G158,$C$36:C158,0),"")</f>
        <v/>
      </c>
      <c r="X158" s="42"/>
      <c r="Y158" s="35"/>
    </row>
    <row r="159" spans="2:25" hidden="1" x14ac:dyDescent="0.2">
      <c r="B159" s="25">
        <v>123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99" t="str">
        <f>IF(B158&lt;'Умови та класичний графік'!$J$13,J159+K159+L159,"")</f>
        <v/>
      </c>
      <c r="H159" s="100"/>
      <c r="I159" s="32" t="str">
        <f>IF(B158&lt;'Умови та класичний графік'!$J$13,I158-J159,"")</f>
        <v/>
      </c>
      <c r="J159" s="32" t="str">
        <f>IF(B158&lt;'Умови та класичний графік'!$J$13,J158,"")</f>
        <v/>
      </c>
      <c r="K159" s="32" t="str">
        <f>IF(B158&lt;'Умови та класичний графік'!$J$13,((I158*'Умови та класичний графік'!$J$22)/365)*F159,"")</f>
        <v/>
      </c>
      <c r="L159" s="30" t="str">
        <f>IF(B158&lt;'Умови та класичний графік'!$J$13,SUM(M159:V159),"")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графік'!$J$13,XIRR($G$36:G159,$C$36:C159,0),"")</f>
        <v/>
      </c>
      <c r="X159" s="42"/>
      <c r="Y159" s="35"/>
    </row>
    <row r="160" spans="2:25" hidden="1" x14ac:dyDescent="0.2">
      <c r="B160" s="25">
        <v>124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99" t="str">
        <f>IF(B159&lt;'Умови та класичний графік'!$J$13,J160+K160+L160,"")</f>
        <v/>
      </c>
      <c r="H160" s="100"/>
      <c r="I160" s="32" t="str">
        <f>IF(B159&lt;'Умови та класичний графік'!$J$13,I159-J160,"")</f>
        <v/>
      </c>
      <c r="J160" s="32" t="str">
        <f>IF(B159&lt;'Умови та класичний графік'!$J$13,J159,"")</f>
        <v/>
      </c>
      <c r="K160" s="32" t="str">
        <f>IF(B159&lt;'Умови та класичний графік'!$J$13,((I159*'Умови та класичний графік'!$J$22)/365)*F160,"")</f>
        <v/>
      </c>
      <c r="L160" s="30" t="str">
        <f>IF(B159&lt;'Умови та класичний графік'!$J$13,SUM(M160:V160),"")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графік'!$J$13,XIRR($G$36:G160,$C$36:C160,0),"")</f>
        <v/>
      </c>
      <c r="X160" s="42"/>
      <c r="Y160" s="35"/>
    </row>
    <row r="161" spans="2:25" hidden="1" x14ac:dyDescent="0.2">
      <c r="B161" s="25">
        <v>125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99" t="str">
        <f>IF(B160&lt;'Умови та класичний графік'!$J$13,J161+K161+L161,"")</f>
        <v/>
      </c>
      <c r="H161" s="100"/>
      <c r="I161" s="32" t="str">
        <f>IF(B160&lt;'Умови та класичний графік'!$J$13,I160-J161,"")</f>
        <v/>
      </c>
      <c r="J161" s="32" t="str">
        <f>IF(B160&lt;'Умови та класичний графік'!$J$13,J160,"")</f>
        <v/>
      </c>
      <c r="K161" s="32" t="str">
        <f>IF(B160&lt;'Умови та класичний графік'!$J$13,((I160*'Умови та класичний графік'!$J$22)/365)*F161,"")</f>
        <v/>
      </c>
      <c r="L161" s="30" t="str">
        <f>IF(B160&lt;'Умови та класичний графік'!$J$13,SUM(M161:V161),"")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графік'!$J$13,XIRR($G$36:G161,$C$36:C161,0),"")</f>
        <v/>
      </c>
      <c r="X161" s="42"/>
      <c r="Y161" s="35"/>
    </row>
    <row r="162" spans="2:25" hidden="1" x14ac:dyDescent="0.2">
      <c r="B162" s="25">
        <v>126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99" t="str">
        <f>IF(B161&lt;'Умови та класичний графік'!$J$13,J162+K162+L162,"")</f>
        <v/>
      </c>
      <c r="H162" s="100"/>
      <c r="I162" s="32" t="str">
        <f>IF(B161&lt;'Умови та класичний графік'!$J$13,I161-J162,"")</f>
        <v/>
      </c>
      <c r="J162" s="32" t="str">
        <f>IF(B161&lt;'Умови та класичний графік'!$J$13,J161,"")</f>
        <v/>
      </c>
      <c r="K162" s="32" t="str">
        <f>IF(B161&lt;'Умови та класичний графік'!$J$13,((I161*'Умови та класичний графік'!$J$22)/365)*F162,"")</f>
        <v/>
      </c>
      <c r="L162" s="30" t="str">
        <f>IF(B161&lt;'Умови та класичний графік'!$J$13,SUM(M162:V162),"")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графік'!$J$13,XIRR($G$36:G162,$C$36:C162,0),"")</f>
        <v/>
      </c>
      <c r="X162" s="42"/>
      <c r="Y162" s="35"/>
    </row>
    <row r="163" spans="2:25" hidden="1" x14ac:dyDescent="0.2">
      <c r="B163" s="25">
        <v>127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99" t="str">
        <f>IF(B162&lt;'Умови та класичний графік'!$J$13,J163+K163+L163,"")</f>
        <v/>
      </c>
      <c r="H163" s="100"/>
      <c r="I163" s="32" t="str">
        <f>IF(B162&lt;'Умови та класичний графік'!$J$13,I162-J163,"")</f>
        <v/>
      </c>
      <c r="J163" s="32" t="str">
        <f>IF(B162&lt;'Умови та класичний графік'!$J$13,J162,"")</f>
        <v/>
      </c>
      <c r="K163" s="32" t="str">
        <f>IF(B162&lt;'Умови та класичний графік'!$J$13,((I162*'Умови та класичний графік'!$J$22)/365)*F163,"")</f>
        <v/>
      </c>
      <c r="L163" s="30" t="str">
        <f>IF(B162&lt;'Умови та класичний графік'!$J$13,SUM(M163:V163),"")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графік'!$J$13,XIRR($G$36:G163,$C$36:C163,0),"")</f>
        <v/>
      </c>
      <c r="X163" s="42"/>
      <c r="Y163" s="35"/>
    </row>
    <row r="164" spans="2:25" hidden="1" x14ac:dyDescent="0.2">
      <c r="B164" s="25">
        <v>128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99" t="str">
        <f>IF(B163&lt;'Умови та класичний графік'!$J$13,J164+K164+L164,"")</f>
        <v/>
      </c>
      <c r="H164" s="100"/>
      <c r="I164" s="32" t="str">
        <f>IF(B163&lt;'Умови та класичний графік'!$J$13,I163-J164,"")</f>
        <v/>
      </c>
      <c r="J164" s="32" t="str">
        <f>IF(B163&lt;'Умови та класичний графік'!$J$13,J163,"")</f>
        <v/>
      </c>
      <c r="K164" s="32" t="str">
        <f>IF(B163&lt;'Умови та класичний графік'!$J$13,((I163*'Умови та класичний графік'!$J$22)/365)*F164,"")</f>
        <v/>
      </c>
      <c r="L164" s="30" t="str">
        <f>IF(B163&lt;'Умови та класичний графік'!$J$13,SUM(M164:V164),"")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графік'!$J$13,XIRR($G$36:G164,$C$36:C164,0),"")</f>
        <v/>
      </c>
      <c r="X164" s="42"/>
      <c r="Y164" s="35"/>
    </row>
    <row r="165" spans="2:25" hidden="1" x14ac:dyDescent="0.2">
      <c r="B165" s="25">
        <v>129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99" t="str">
        <f>IF(B164&lt;'Умови та класичний графік'!$J$13,J165+K165+L165,"")</f>
        <v/>
      </c>
      <c r="H165" s="100"/>
      <c r="I165" s="32" t="str">
        <f>IF(B164&lt;'Умови та класичний графік'!$J$13,I164-J165,"")</f>
        <v/>
      </c>
      <c r="J165" s="32" t="str">
        <f>IF(B164&lt;'Умови та класичний графік'!$J$13,J164,"")</f>
        <v/>
      </c>
      <c r="K165" s="32" t="str">
        <f>IF(B164&lt;'Умови та класичний графік'!$J$13,((I164*'Умови та класичний графік'!$J$22)/365)*F165,"")</f>
        <v/>
      </c>
      <c r="L165" s="30" t="str">
        <f>IF(B164&lt;'Умови та класичний графік'!$J$13,SUM(M165:V165),"")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графік'!$J$13,XIRR($G$36:G165,$C$36:C165,0),"")</f>
        <v/>
      </c>
      <c r="X165" s="42"/>
      <c r="Y165" s="35"/>
    </row>
    <row r="166" spans="2:25" hidden="1" x14ac:dyDescent="0.2">
      <c r="B166" s="25">
        <v>130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99" t="str">
        <f>IF(B165&lt;'Умови та класичний графік'!$J$13,J166+K166+L166,"")</f>
        <v/>
      </c>
      <c r="H166" s="100"/>
      <c r="I166" s="32" t="str">
        <f>IF(B165&lt;'Умови та класичний графік'!$J$13,I165-J166,"")</f>
        <v/>
      </c>
      <c r="J166" s="32" t="str">
        <f>IF(B165&lt;'Умови та класичний графік'!$J$13,J165,"")</f>
        <v/>
      </c>
      <c r="K166" s="32" t="str">
        <f>IF(B165&lt;'Умови та класичний графік'!$J$13,((I165*'Умови та класичний графік'!$J$22)/365)*F166,"")</f>
        <v/>
      </c>
      <c r="L166" s="30" t="str">
        <f>IF(B165&lt;'Умови та класичний графік'!$J$13,SUM(M166:V166),"")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графік'!$J$13,XIRR($G$36:G166,$C$36:C166,0),"")</f>
        <v/>
      </c>
      <c r="X166" s="42"/>
      <c r="Y166" s="35"/>
    </row>
    <row r="167" spans="2:25" hidden="1" x14ac:dyDescent="0.2">
      <c r="B167" s="25">
        <v>131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99" t="str">
        <f>IF(B166&lt;'Умови та класичний графік'!$J$13,J167+K167+L167,"")</f>
        <v/>
      </c>
      <c r="H167" s="100"/>
      <c r="I167" s="32" t="str">
        <f>IF(B166&lt;'Умови та класичний графік'!$J$13,I166-J167,"")</f>
        <v/>
      </c>
      <c r="J167" s="32" t="str">
        <f>IF(B166&lt;'Умови та класичний графік'!$J$13,J166,"")</f>
        <v/>
      </c>
      <c r="K167" s="32" t="str">
        <f>IF(B166&lt;'Умови та класичний графік'!$J$13,((I166*'Умови та класичний графік'!$J$22)/365)*F167,"")</f>
        <v/>
      </c>
      <c r="L167" s="30" t="str">
        <f>IF(B166&lt;'Умови та класичний графік'!$J$13,SUM(M167:V167),"")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графік'!$J$13,XIRR($G$36:G167,$C$36:C167,0),"")</f>
        <v/>
      </c>
      <c r="X167" s="42"/>
      <c r="Y167" s="35"/>
    </row>
    <row r="168" spans="2:25" hidden="1" x14ac:dyDescent="0.2">
      <c r="B168" s="25">
        <v>132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99" t="str">
        <f>IF(B167&lt;'Умови та класичний графік'!$J$13,J168+K168+L168,"")</f>
        <v/>
      </c>
      <c r="H168" s="100"/>
      <c r="I168" s="32" t="str">
        <f>IF(B167&lt;'Умови та класичний графік'!$J$13,I167-J168,"")</f>
        <v/>
      </c>
      <c r="J168" s="32" t="str">
        <f>IF(B167&lt;'Умови та класичний графік'!$J$13,J167,"")</f>
        <v/>
      </c>
      <c r="K168" s="32" t="str">
        <f>IF(B167&lt;'Умови та класичний графік'!$J$13,((I167*'Умови та класичний графік'!$J$22)/365)*F168,"")</f>
        <v/>
      </c>
      <c r="L168" s="30" t="str">
        <f>IF(B167&lt;'Умови та класичний графік'!$J$13,SUM(M168:V168),"")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графік'!$J$13,('Умови та класичний графік'!$J$14*$N$19)+(I168*$N$20),"")</f>
        <v/>
      </c>
      <c r="V168" s="41"/>
      <c r="W168" s="43" t="str">
        <f>IF(B167&lt;'Умови та класичний графік'!$J$13,XIRR($G$36:G168,$C$36:C168,0),"")</f>
        <v/>
      </c>
      <c r="X168" s="42"/>
      <c r="Y168" s="35"/>
    </row>
    <row r="169" spans="2:25" hidden="1" x14ac:dyDescent="0.2">
      <c r="B169" s="25">
        <v>133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99" t="str">
        <f>IF(B168&lt;'Умови та класичний графік'!$J$13,J169+K169+L169,"")</f>
        <v/>
      </c>
      <c r="H169" s="100"/>
      <c r="I169" s="32" t="str">
        <f>IF(B168&lt;'Умови та класичний графік'!$J$13,I168-J169,"")</f>
        <v/>
      </c>
      <c r="J169" s="32" t="str">
        <f>IF(B168&lt;'Умови та класичний графік'!$J$13,J168,"")</f>
        <v/>
      </c>
      <c r="K169" s="32" t="str">
        <f>IF(B168&lt;'Умови та класичний графік'!$J$13,((I168*'Умови та класичний графік'!$J$22)/365)*F169,"")</f>
        <v/>
      </c>
      <c r="L169" s="30" t="str">
        <f>IF(B168&lt;'Умови та класичний графік'!$J$13,SUM(M169:V169),"")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графік'!$J$13,XIRR($G$36:G169,$C$36:C169,0),"")</f>
        <v/>
      </c>
      <c r="X169" s="42"/>
      <c r="Y169" s="35"/>
    </row>
    <row r="170" spans="2:25" hidden="1" x14ac:dyDescent="0.2">
      <c r="B170" s="25">
        <v>134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99" t="str">
        <f>IF(B169&lt;'Умови та класичний графік'!$J$13,J170+K170+L170,"")</f>
        <v/>
      </c>
      <c r="H170" s="100"/>
      <c r="I170" s="32" t="str">
        <f>IF(B169&lt;'Умови та класичний графік'!$J$13,I169-J170,"")</f>
        <v/>
      </c>
      <c r="J170" s="32" t="str">
        <f>IF(B169&lt;'Умови та класичний графік'!$J$13,J169,"")</f>
        <v/>
      </c>
      <c r="K170" s="32" t="str">
        <f>IF(B169&lt;'Умови та класичний графік'!$J$13,((I169*'Умови та класичний графік'!$J$22)/365)*F170,"")</f>
        <v/>
      </c>
      <c r="L170" s="30" t="str">
        <f>IF(B169&lt;'Умови та класичний графік'!$J$13,SUM(M170:V170),"")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графік'!$J$13,XIRR($G$36:G170,$C$36:C170,0),"")</f>
        <v/>
      </c>
      <c r="X170" s="42"/>
      <c r="Y170" s="35"/>
    </row>
    <row r="171" spans="2:25" hidden="1" x14ac:dyDescent="0.2">
      <c r="B171" s="25">
        <v>135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99" t="str">
        <f>IF(B170&lt;'Умови та класичний графік'!$J$13,J171+K171+L171,"")</f>
        <v/>
      </c>
      <c r="H171" s="100"/>
      <c r="I171" s="32" t="str">
        <f>IF(B170&lt;'Умови та класичний графік'!$J$13,I170-J171,"")</f>
        <v/>
      </c>
      <c r="J171" s="32" t="str">
        <f>IF(B170&lt;'Умови та класичний графік'!$J$13,J170,"")</f>
        <v/>
      </c>
      <c r="K171" s="32" t="str">
        <f>IF(B170&lt;'Умови та класичний графік'!$J$13,((I170*'Умови та класичний графік'!$J$22)/365)*F171,"")</f>
        <v/>
      </c>
      <c r="L171" s="30" t="str">
        <f>IF(B170&lt;'Умови та класичний графік'!$J$13,SUM(M171:V171),"")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графік'!$J$13,XIRR($G$36:G171,$C$36:C171,0),"")</f>
        <v/>
      </c>
      <c r="X171" s="42"/>
      <c r="Y171" s="35"/>
    </row>
    <row r="172" spans="2:25" hidden="1" x14ac:dyDescent="0.2">
      <c r="B172" s="25">
        <v>136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99" t="str">
        <f>IF(B171&lt;'Умови та класичний графік'!$J$13,J172+K172+L172,"")</f>
        <v/>
      </c>
      <c r="H172" s="100"/>
      <c r="I172" s="32" t="str">
        <f>IF(B171&lt;'Умови та класичний графік'!$J$13,I171-J172,"")</f>
        <v/>
      </c>
      <c r="J172" s="32" t="str">
        <f>IF(B171&lt;'Умови та класичний графік'!$J$13,J171,"")</f>
        <v/>
      </c>
      <c r="K172" s="32" t="str">
        <f>IF(B171&lt;'Умови та класичний графік'!$J$13,((I171*'Умови та класичний графік'!$J$22)/365)*F172,"")</f>
        <v/>
      </c>
      <c r="L172" s="30" t="str">
        <f>IF(B171&lt;'Умови та класичний графік'!$J$13,SUM(M172:V172),"")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графік'!$J$13,XIRR($G$36:G172,$C$36:C172,0),"")</f>
        <v/>
      </c>
      <c r="X172" s="42"/>
      <c r="Y172" s="35"/>
    </row>
    <row r="173" spans="2:25" hidden="1" x14ac:dyDescent="0.2">
      <c r="B173" s="25">
        <v>137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99" t="str">
        <f>IF(B172&lt;'Умови та класичний графік'!$J$13,J173+K173+L173,"")</f>
        <v/>
      </c>
      <c r="H173" s="100"/>
      <c r="I173" s="32" t="str">
        <f>IF(B172&lt;'Умови та класичний графік'!$J$13,I172-J173,"")</f>
        <v/>
      </c>
      <c r="J173" s="32" t="str">
        <f>IF(B172&lt;'Умови та класичний графік'!$J$13,J172,"")</f>
        <v/>
      </c>
      <c r="K173" s="32" t="str">
        <f>IF(B172&lt;'Умови та класичний графік'!$J$13,((I172*'Умови та класичний графік'!$J$22)/365)*F173,"")</f>
        <v/>
      </c>
      <c r="L173" s="30" t="str">
        <f>IF(B172&lt;'Умови та класичний графік'!$J$13,SUM(M173:V173),"")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графік'!$J$13,XIRR($G$36:G173,$C$36:C173,0),"")</f>
        <v/>
      </c>
      <c r="X173" s="42"/>
      <c r="Y173" s="35"/>
    </row>
    <row r="174" spans="2:25" hidden="1" x14ac:dyDescent="0.2">
      <c r="B174" s="25">
        <v>138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99" t="str">
        <f>IF(B173&lt;'Умови та класичний графік'!$J$13,J174+K174+L174,"")</f>
        <v/>
      </c>
      <c r="H174" s="100"/>
      <c r="I174" s="32" t="str">
        <f>IF(B173&lt;'Умови та класичний графік'!$J$13,I173-J174,"")</f>
        <v/>
      </c>
      <c r="J174" s="32" t="str">
        <f>IF(B173&lt;'Умови та класичний графік'!$J$13,J173,"")</f>
        <v/>
      </c>
      <c r="K174" s="32" t="str">
        <f>IF(B173&lt;'Умови та класичний графік'!$J$13,((I173*'Умови та класичний графік'!$J$22)/365)*F174,"")</f>
        <v/>
      </c>
      <c r="L174" s="30" t="str">
        <f>IF(B173&lt;'Умови та класичний графік'!$J$13,SUM(M174:V174),"")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графік'!$J$13,XIRR($G$36:G174,$C$36:C174,0),"")</f>
        <v/>
      </c>
      <c r="X174" s="42"/>
      <c r="Y174" s="35"/>
    </row>
    <row r="175" spans="2:25" hidden="1" x14ac:dyDescent="0.2">
      <c r="B175" s="25">
        <v>139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99" t="str">
        <f>IF(B174&lt;'Умови та класичний графік'!$J$13,J175+K175+L175,"")</f>
        <v/>
      </c>
      <c r="H175" s="100"/>
      <c r="I175" s="32" t="str">
        <f>IF(B174&lt;'Умови та класичний графік'!$J$13,I174-J175,"")</f>
        <v/>
      </c>
      <c r="J175" s="32" t="str">
        <f>IF(B174&lt;'Умови та класичний графік'!$J$13,J174,"")</f>
        <v/>
      </c>
      <c r="K175" s="32" t="str">
        <f>IF(B174&lt;'Умови та класичний графік'!$J$13,((I174*'Умови та класичний графік'!$J$22)/365)*F175,"")</f>
        <v/>
      </c>
      <c r="L175" s="30" t="str">
        <f>IF(B174&lt;'Умови та класичний графік'!$J$13,SUM(M175:V175),"")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графік'!$J$13,XIRR($G$36:G175,$C$36:C175,0),"")</f>
        <v/>
      </c>
      <c r="X175" s="42"/>
      <c r="Y175" s="35"/>
    </row>
    <row r="176" spans="2:25" hidden="1" x14ac:dyDescent="0.2">
      <c r="B176" s="25">
        <v>140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99" t="str">
        <f>IF(B175&lt;'Умови та класичний графік'!$J$13,J176+K176+L176,"")</f>
        <v/>
      </c>
      <c r="H176" s="100"/>
      <c r="I176" s="32" t="str">
        <f>IF(B175&lt;'Умови та класичний графік'!$J$13,I175-J176,"")</f>
        <v/>
      </c>
      <c r="J176" s="32" t="str">
        <f>IF(B175&lt;'Умови та класичний графік'!$J$13,J175,"")</f>
        <v/>
      </c>
      <c r="K176" s="32" t="str">
        <f>IF(B175&lt;'Умови та класичний графік'!$J$13,((I175*'Умови та класичний графік'!$J$22)/365)*F176,"")</f>
        <v/>
      </c>
      <c r="L176" s="30" t="str">
        <f>IF(B175&lt;'Умови та класичний графік'!$J$13,SUM(M176:V176),"")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графік'!$J$13,XIRR($G$36:G176,$C$36:C176,0),"")</f>
        <v/>
      </c>
      <c r="X176" s="42"/>
      <c r="Y176" s="35"/>
    </row>
    <row r="177" spans="2:25" hidden="1" x14ac:dyDescent="0.2">
      <c r="B177" s="25">
        <v>141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99" t="str">
        <f>IF(B176&lt;'Умови та класичний графік'!$J$13,J177+K177+L177,"")</f>
        <v/>
      </c>
      <c r="H177" s="100"/>
      <c r="I177" s="32" t="str">
        <f>IF(B176&lt;'Умови та класичний графік'!$J$13,I176-J177,"")</f>
        <v/>
      </c>
      <c r="J177" s="32" t="str">
        <f>IF(B176&lt;'Умови та класичний графік'!$J$13,J176,"")</f>
        <v/>
      </c>
      <c r="K177" s="32" t="str">
        <f>IF(B176&lt;'Умови та класичний графік'!$J$13,((I176*'Умови та класичний графік'!$J$22)/365)*F177,"")</f>
        <v/>
      </c>
      <c r="L177" s="30" t="str">
        <f>IF(B176&lt;'Умови та класичний графік'!$J$13,SUM(M177:V177),"")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графік'!$J$13,XIRR($G$36:G177,$C$36:C177,0),"")</f>
        <v/>
      </c>
      <c r="X177" s="42"/>
      <c r="Y177" s="35"/>
    </row>
    <row r="178" spans="2:25" hidden="1" x14ac:dyDescent="0.2">
      <c r="B178" s="25">
        <v>142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99" t="str">
        <f>IF(B177&lt;'Умови та класичний графік'!$J$13,J178+K178+L178,"")</f>
        <v/>
      </c>
      <c r="H178" s="100"/>
      <c r="I178" s="32" t="str">
        <f>IF(B177&lt;'Умови та класичний графік'!$J$13,I177-J178,"")</f>
        <v/>
      </c>
      <c r="J178" s="32" t="str">
        <f>IF(B177&lt;'Умови та класичний графік'!$J$13,J177,"")</f>
        <v/>
      </c>
      <c r="K178" s="32" t="str">
        <f>IF(B177&lt;'Умови та класичний графік'!$J$13,((I177*'Умови та класичний графік'!$J$22)/365)*F178,"")</f>
        <v/>
      </c>
      <c r="L178" s="30" t="str">
        <f>IF(B177&lt;'Умови та класичний графік'!$J$13,SUM(M178:V178),"")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графік'!$J$13,XIRR($G$36:G178,$C$36:C178,0),"")</f>
        <v/>
      </c>
      <c r="X178" s="42"/>
      <c r="Y178" s="35"/>
    </row>
    <row r="179" spans="2:25" hidden="1" x14ac:dyDescent="0.2">
      <c r="B179" s="25">
        <v>143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99" t="str">
        <f>IF(B178&lt;'Умови та класичний графік'!$J$13,J179+K179+L179,"")</f>
        <v/>
      </c>
      <c r="H179" s="100"/>
      <c r="I179" s="32" t="str">
        <f>IF(B178&lt;'Умови та класичний графік'!$J$13,I178-J179,"")</f>
        <v/>
      </c>
      <c r="J179" s="32" t="str">
        <f>IF(B178&lt;'Умови та класичний графік'!$J$13,J178,"")</f>
        <v/>
      </c>
      <c r="K179" s="32" t="str">
        <f>IF(B178&lt;'Умови та класичний графік'!$J$13,((I178*'Умови та класичний графік'!$J$22)/365)*F179,"")</f>
        <v/>
      </c>
      <c r="L179" s="30" t="str">
        <f>IF(B178&lt;'Умови та класичний графік'!$J$13,SUM(M179:V179),"")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графік'!$J$13,XIRR($G$36:G179,$C$36:C179,0),"")</f>
        <v/>
      </c>
      <c r="X179" s="42"/>
      <c r="Y179" s="35"/>
    </row>
    <row r="180" spans="2:25" hidden="1" x14ac:dyDescent="0.2">
      <c r="B180" s="25">
        <v>144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99" t="str">
        <f>IF(B179&lt;'Умови та класичний графік'!$J$13,J180+K180+L180,"")</f>
        <v/>
      </c>
      <c r="H180" s="100"/>
      <c r="I180" s="32" t="str">
        <f>IF(B179&lt;'Умови та класичний графік'!$J$13,I179-J180,"")</f>
        <v/>
      </c>
      <c r="J180" s="32" t="str">
        <f>IF(B179&lt;'Умови та класичний графік'!$J$13,J179,"")</f>
        <v/>
      </c>
      <c r="K180" s="32" t="str">
        <f>IF(B179&lt;'Умови та класичний графік'!$J$13,((I179*'Умови та класичний графік'!$J$22)/365)*F180,"")</f>
        <v/>
      </c>
      <c r="L180" s="30" t="str">
        <f>IF(B179&lt;'Умови та класичний графік'!$J$13,SUM(M180:V180),"")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графік'!$J$13,('Умови та класичний графік'!$J$14*$N$19)+(I180*$N$20),"")</f>
        <v/>
      </c>
      <c r="V180" s="41"/>
      <c r="W180" s="43" t="str">
        <f>IF(B179&lt;'Умови та класичний графік'!$J$13,XIRR($G$36:G180,$C$36:C180,0),"")</f>
        <v/>
      </c>
      <c r="X180" s="42"/>
      <c r="Y180" s="35"/>
    </row>
    <row r="181" spans="2:25" hidden="1" x14ac:dyDescent="0.2">
      <c r="B181" s="25">
        <v>145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99" t="str">
        <f>IF(B180&lt;'Умови та класичний графік'!$J$13,J181+K181+L181,"")</f>
        <v/>
      </c>
      <c r="H181" s="100"/>
      <c r="I181" s="32" t="str">
        <f>IF(B180&lt;'Умови та класичний графік'!$J$13,I180-J181,"")</f>
        <v/>
      </c>
      <c r="J181" s="32" t="str">
        <f>IF(B180&lt;'Умови та класичний графік'!$J$13,J180,"")</f>
        <v/>
      </c>
      <c r="K181" s="32" t="str">
        <f>IF(B180&lt;'Умови та класичний графік'!$J$13,((I180*'Умови та класичний графік'!$J$22)/365)*F181,"")</f>
        <v/>
      </c>
      <c r="L181" s="30" t="str">
        <f>IF(B180&lt;'Умови та класичний графік'!$J$13,SUM(M181:V181),"")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графік'!$J$13,XIRR($G$36:G181,$C$36:C181,0),"")</f>
        <v/>
      </c>
      <c r="X181" s="42"/>
      <c r="Y181" s="35"/>
    </row>
    <row r="182" spans="2:25" hidden="1" x14ac:dyDescent="0.2">
      <c r="B182" s="25">
        <v>146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99" t="str">
        <f>IF(B181&lt;'Умови та класичний графік'!$J$13,J182+K182+L182,"")</f>
        <v/>
      </c>
      <c r="H182" s="100"/>
      <c r="I182" s="32" t="str">
        <f>IF(B181&lt;'Умови та класичний графік'!$J$13,I181-J182,"")</f>
        <v/>
      </c>
      <c r="J182" s="32" t="str">
        <f>IF(B181&lt;'Умови та класичний графік'!$J$13,J181,"")</f>
        <v/>
      </c>
      <c r="K182" s="32" t="str">
        <f>IF(B181&lt;'Умови та класичний графік'!$J$13,((I181*'Умови та класичний графік'!$J$22)/365)*F182,"")</f>
        <v/>
      </c>
      <c r="L182" s="30" t="str">
        <f>IF(B181&lt;'Умови та класичний графік'!$J$13,SUM(M182:V182),"")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графік'!$J$13,XIRR($G$36:G182,$C$36:C182,0),"")</f>
        <v/>
      </c>
      <c r="X182" s="42"/>
      <c r="Y182" s="35"/>
    </row>
    <row r="183" spans="2:25" hidden="1" x14ac:dyDescent="0.2">
      <c r="B183" s="25">
        <v>147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99" t="str">
        <f>IF(B182&lt;'Умови та класичний графік'!$J$13,J183+K183+L183,"")</f>
        <v/>
      </c>
      <c r="H183" s="100"/>
      <c r="I183" s="32" t="str">
        <f>IF(B182&lt;'Умови та класичний графік'!$J$13,I182-J183,"")</f>
        <v/>
      </c>
      <c r="J183" s="32" t="str">
        <f>IF(B182&lt;'Умови та класичний графік'!$J$13,J182,"")</f>
        <v/>
      </c>
      <c r="K183" s="32" t="str">
        <f>IF(B182&lt;'Умови та класичний графік'!$J$13,((I182*'Умови та класичний графік'!$J$22)/365)*F183,"")</f>
        <v/>
      </c>
      <c r="L183" s="30" t="str">
        <f>IF(B182&lt;'Умови та класичний графік'!$J$13,SUM(M183:V183),"")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графік'!$J$13,XIRR($G$36:G183,$C$36:C183,0),"")</f>
        <v/>
      </c>
      <c r="X183" s="42"/>
      <c r="Y183" s="35"/>
    </row>
    <row r="184" spans="2:25" hidden="1" x14ac:dyDescent="0.2">
      <c r="B184" s="25">
        <v>148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99" t="str">
        <f>IF(B183&lt;'Умови та класичний графік'!$J$13,J184+K184+L184,"")</f>
        <v/>
      </c>
      <c r="H184" s="100"/>
      <c r="I184" s="32" t="str">
        <f>IF(B183&lt;'Умови та класичний графік'!$J$13,I183-J184,"")</f>
        <v/>
      </c>
      <c r="J184" s="32" t="str">
        <f>IF(B183&lt;'Умови та класичний графік'!$J$13,J183,"")</f>
        <v/>
      </c>
      <c r="K184" s="32" t="str">
        <f>IF(B183&lt;'Умови та класичний графік'!$J$13,((I183*'Умови та класичний графік'!$J$22)/365)*F184,"")</f>
        <v/>
      </c>
      <c r="L184" s="30" t="str">
        <f>IF(B183&lt;'Умови та класичний графік'!$J$13,SUM(M184:V184),"")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графік'!$J$13,XIRR($G$36:G184,$C$36:C184,0),"")</f>
        <v/>
      </c>
      <c r="X184" s="42"/>
      <c r="Y184" s="35"/>
    </row>
    <row r="185" spans="2:25" hidden="1" x14ac:dyDescent="0.2">
      <c r="B185" s="25">
        <v>149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99" t="str">
        <f>IF(B184&lt;'Умови та класичний графік'!$J$13,J185+K185+L185,"")</f>
        <v/>
      </c>
      <c r="H185" s="100"/>
      <c r="I185" s="32" t="str">
        <f>IF(B184&lt;'Умови та класичний графік'!$J$13,I184-J185,"")</f>
        <v/>
      </c>
      <c r="J185" s="32" t="str">
        <f>IF(B184&lt;'Умови та класичний графік'!$J$13,J184,"")</f>
        <v/>
      </c>
      <c r="K185" s="32" t="str">
        <f>IF(B184&lt;'Умови та класичний графік'!$J$13,((I184*'Умови та класичний графік'!$J$22)/365)*F185,"")</f>
        <v/>
      </c>
      <c r="L185" s="30" t="str">
        <f>IF(B184&lt;'Умови та класичний графік'!$J$13,SUM(M185:V185),"")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графік'!$J$13,XIRR($G$36:G185,$C$36:C185,0),"")</f>
        <v/>
      </c>
      <c r="X185" s="42"/>
      <c r="Y185" s="35"/>
    </row>
    <row r="186" spans="2:25" hidden="1" x14ac:dyDescent="0.2">
      <c r="B186" s="25">
        <v>150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99" t="str">
        <f>IF(B185&lt;'Умови та класичний графік'!$J$13,J186+K186+L186,"")</f>
        <v/>
      </c>
      <c r="H186" s="100"/>
      <c r="I186" s="32" t="str">
        <f>IF(B185&lt;'Умови та класичний графік'!$J$13,I185-J186,"")</f>
        <v/>
      </c>
      <c r="J186" s="32" t="str">
        <f>IF(B185&lt;'Умови та класичний графік'!$J$13,J185,"")</f>
        <v/>
      </c>
      <c r="K186" s="32" t="str">
        <f>IF(B185&lt;'Умови та класичний графік'!$J$13,((I185*'Умови та класичний графік'!$J$22)/365)*F186,"")</f>
        <v/>
      </c>
      <c r="L186" s="30" t="str">
        <f>IF(B185&lt;'Умови та класичний графік'!$J$13,SUM(M186:V186),"")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графік'!$J$13,XIRR($G$36:G186,$C$36:C186,0),"")</f>
        <v/>
      </c>
      <c r="X186" s="42"/>
      <c r="Y186" s="35"/>
    </row>
    <row r="187" spans="2:25" hidden="1" x14ac:dyDescent="0.2">
      <c r="B187" s="25">
        <v>151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99" t="str">
        <f>IF(B186&lt;'Умови та класичний графік'!$J$13,J187+K187+L187,"")</f>
        <v/>
      </c>
      <c r="H187" s="100"/>
      <c r="I187" s="32" t="str">
        <f>IF(B186&lt;'Умови та класичний графік'!$J$13,I186-J187,"")</f>
        <v/>
      </c>
      <c r="J187" s="32" t="str">
        <f>IF(B186&lt;'Умови та класичний графік'!$J$13,J186,"")</f>
        <v/>
      </c>
      <c r="K187" s="32" t="str">
        <f>IF(B186&lt;'Умови та класичний графік'!$J$13,((I186*'Умови та класичний графік'!$J$22)/365)*F187,"")</f>
        <v/>
      </c>
      <c r="L187" s="30" t="str">
        <f>IF(B186&lt;'Умови та класичний графік'!$J$13,SUM(M187:V187),"")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графік'!$J$13,XIRR($G$36:G187,$C$36:C187,0),"")</f>
        <v/>
      </c>
      <c r="X187" s="42"/>
      <c r="Y187" s="35"/>
    </row>
    <row r="188" spans="2:25" hidden="1" x14ac:dyDescent="0.2">
      <c r="B188" s="25">
        <v>152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99" t="str">
        <f>IF(B187&lt;'Умови та класичний графік'!$J$13,J188+K188+L188,"")</f>
        <v/>
      </c>
      <c r="H188" s="100"/>
      <c r="I188" s="32" t="str">
        <f>IF(B187&lt;'Умови та класичний графік'!$J$13,I187-J188,"")</f>
        <v/>
      </c>
      <c r="J188" s="32" t="str">
        <f>IF(B187&lt;'Умови та класичний графік'!$J$13,J187,"")</f>
        <v/>
      </c>
      <c r="K188" s="32" t="str">
        <f>IF(B187&lt;'Умови та класичний графік'!$J$13,((I187*'Умови та класичний графік'!$J$22)/365)*F188,"")</f>
        <v/>
      </c>
      <c r="L188" s="30" t="str">
        <f>IF(B187&lt;'Умови та класичний графік'!$J$13,SUM(M188:V188),"")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графік'!$J$13,XIRR($G$36:G188,$C$36:C188,0),"")</f>
        <v/>
      </c>
      <c r="X188" s="42"/>
      <c r="Y188" s="35"/>
    </row>
    <row r="189" spans="2:25" hidden="1" x14ac:dyDescent="0.2">
      <c r="B189" s="25">
        <v>153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99" t="str">
        <f>IF(B188&lt;'Умови та класичний графік'!$J$13,J189+K189+L189,"")</f>
        <v/>
      </c>
      <c r="H189" s="100"/>
      <c r="I189" s="32" t="str">
        <f>IF(B188&lt;'Умови та класичний графік'!$J$13,I188-J189,"")</f>
        <v/>
      </c>
      <c r="J189" s="32" t="str">
        <f>IF(B188&lt;'Умови та класичний графік'!$J$13,J188,"")</f>
        <v/>
      </c>
      <c r="K189" s="32" t="str">
        <f>IF(B188&lt;'Умови та класичний графік'!$J$13,((I188*'Умови та класичний графік'!$J$22)/365)*F189,"")</f>
        <v/>
      </c>
      <c r="L189" s="30" t="str">
        <f>IF(B188&lt;'Умови та класичний графік'!$J$13,SUM(M189:V189),"")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графік'!$J$13,XIRR($G$36:G189,$C$36:C189,0),"")</f>
        <v/>
      </c>
      <c r="X189" s="42"/>
      <c r="Y189" s="35"/>
    </row>
    <row r="190" spans="2:25" hidden="1" x14ac:dyDescent="0.2">
      <c r="B190" s="25">
        <v>154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99" t="str">
        <f>IF(B189&lt;'Умови та класичний графік'!$J$13,J190+K190+L190,"")</f>
        <v/>
      </c>
      <c r="H190" s="100"/>
      <c r="I190" s="32" t="str">
        <f>IF(B189&lt;'Умови та класичний графік'!$J$13,I189-J190,"")</f>
        <v/>
      </c>
      <c r="J190" s="32" t="str">
        <f>IF(B189&lt;'Умови та класичний графік'!$J$13,J189,"")</f>
        <v/>
      </c>
      <c r="K190" s="32" t="str">
        <f>IF(B189&lt;'Умови та класичний графік'!$J$13,((I189*'Умови та класичний графік'!$J$22)/365)*F190,"")</f>
        <v/>
      </c>
      <c r="L190" s="30" t="str">
        <f>IF(B189&lt;'Умови та класичний графік'!$J$13,SUM(M190:V190),"")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графік'!$J$13,XIRR($G$36:G190,$C$36:C190,0),"")</f>
        <v/>
      </c>
      <c r="X190" s="42"/>
      <c r="Y190" s="35"/>
    </row>
    <row r="191" spans="2:25" hidden="1" x14ac:dyDescent="0.2">
      <c r="B191" s="25">
        <v>155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99" t="str">
        <f>IF(B190&lt;'Умови та класичний графік'!$J$13,J191+K191+L191,"")</f>
        <v/>
      </c>
      <c r="H191" s="100"/>
      <c r="I191" s="32" t="str">
        <f>IF(B190&lt;'Умови та класичний графік'!$J$13,I190-J191,"")</f>
        <v/>
      </c>
      <c r="J191" s="32" t="str">
        <f>IF(B190&lt;'Умови та класичний графік'!$J$13,J190,"")</f>
        <v/>
      </c>
      <c r="K191" s="32" t="str">
        <f>IF(B190&lt;'Умови та класичний графік'!$J$13,((I190*'Умови та класичний графік'!$J$22)/365)*F191,"")</f>
        <v/>
      </c>
      <c r="L191" s="30" t="str">
        <f>IF(B190&lt;'Умови та класичний графік'!$J$13,SUM(M191:V191),"")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графік'!$J$13,XIRR($G$36:G191,$C$36:C191,0),"")</f>
        <v/>
      </c>
      <c r="X191" s="42"/>
      <c r="Y191" s="35"/>
    </row>
    <row r="192" spans="2:25" hidden="1" x14ac:dyDescent="0.2">
      <c r="B192" s="25">
        <v>156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99" t="str">
        <f>IF(B191&lt;'Умови та класичний графік'!$J$13,J192+K192+L192,"")</f>
        <v/>
      </c>
      <c r="H192" s="100"/>
      <c r="I192" s="32" t="str">
        <f>IF(B191&lt;'Умови та класичний графік'!$J$13,I191-J192,"")</f>
        <v/>
      </c>
      <c r="J192" s="32" t="str">
        <f>IF(B191&lt;'Умови та класичний графік'!$J$13,J191,"")</f>
        <v/>
      </c>
      <c r="K192" s="32" t="str">
        <f>IF(B191&lt;'Умови та класичний графік'!$J$13,((I191*'Умови та класичний графік'!$J$22)/365)*F192,"")</f>
        <v/>
      </c>
      <c r="L192" s="30" t="str">
        <f>IF(B191&lt;'Умови та класичний графік'!$J$13,SUM(M192:V192),"")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графік'!$J$13,('Умови та класичний графік'!$J$14*$N$19)+(I192*$N$20),"")</f>
        <v/>
      </c>
      <c r="V192" s="41"/>
      <c r="W192" s="43" t="str">
        <f>IF(B191&lt;'Умови та класичний графік'!$J$13,XIRR($G$36:G192,$C$36:C192,0),"")</f>
        <v/>
      </c>
      <c r="X192" s="42"/>
      <c r="Y192" s="35"/>
    </row>
    <row r="193" spans="2:25" hidden="1" x14ac:dyDescent="0.2">
      <c r="B193" s="25">
        <v>157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99" t="str">
        <f>IF(B192&lt;'Умови та класичний графік'!$J$13,J193+K193+L193,"")</f>
        <v/>
      </c>
      <c r="H193" s="100"/>
      <c r="I193" s="32" t="str">
        <f>IF(B192&lt;'Умови та класичний графік'!$J$13,I192-J193,"")</f>
        <v/>
      </c>
      <c r="J193" s="32" t="str">
        <f>IF(B192&lt;'Умови та класичний графік'!$J$13,J192,"")</f>
        <v/>
      </c>
      <c r="K193" s="32" t="str">
        <f>IF(B192&lt;'Умови та класичний графік'!$J$13,((I192*'Умови та класичний графік'!$J$22)/365)*F193,"")</f>
        <v/>
      </c>
      <c r="L193" s="30" t="str">
        <f>IF(B192&lt;'Умови та класичний графік'!$J$13,SUM(M193:V193),"")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графік'!$J$13,XIRR($G$36:G193,$C$36:C193,0),"")</f>
        <v/>
      </c>
      <c r="X193" s="42"/>
      <c r="Y193" s="35"/>
    </row>
    <row r="194" spans="2:25" hidden="1" x14ac:dyDescent="0.2">
      <c r="B194" s="25">
        <v>158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99" t="str">
        <f>IF(B193&lt;'Умови та класичний графік'!$J$13,J194+K194+L194,"")</f>
        <v/>
      </c>
      <c r="H194" s="100"/>
      <c r="I194" s="32" t="str">
        <f>IF(B193&lt;'Умови та класичний графік'!$J$13,I193-J194,"")</f>
        <v/>
      </c>
      <c r="J194" s="32" t="str">
        <f>IF(B193&lt;'Умови та класичний графік'!$J$13,J193,"")</f>
        <v/>
      </c>
      <c r="K194" s="32" t="str">
        <f>IF(B193&lt;'Умови та класичний графік'!$J$13,((I193*'Умови та класичний графік'!$J$22)/365)*F194,"")</f>
        <v/>
      </c>
      <c r="L194" s="30" t="str">
        <f>IF(B193&lt;'Умови та класичний графік'!$J$13,SUM(M194:V194),"")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графік'!$J$13,XIRR($G$36:G194,$C$36:C194,0),"")</f>
        <v/>
      </c>
      <c r="X194" s="42"/>
      <c r="Y194" s="35"/>
    </row>
    <row r="195" spans="2:25" hidden="1" x14ac:dyDescent="0.2">
      <c r="B195" s="25">
        <v>159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99" t="str">
        <f>IF(B194&lt;'Умови та класичний графік'!$J$13,J195+K195+L195,"")</f>
        <v/>
      </c>
      <c r="H195" s="100"/>
      <c r="I195" s="32" t="str">
        <f>IF(B194&lt;'Умови та класичний графік'!$J$13,I194-J195,"")</f>
        <v/>
      </c>
      <c r="J195" s="32" t="str">
        <f>IF(B194&lt;'Умови та класичний графік'!$J$13,J194,"")</f>
        <v/>
      </c>
      <c r="K195" s="32" t="str">
        <f>IF(B194&lt;'Умови та класичний графік'!$J$13,((I194*'Умови та класичний графік'!$J$22)/365)*F195,"")</f>
        <v/>
      </c>
      <c r="L195" s="30" t="str">
        <f>IF(B194&lt;'Умови та класичний графік'!$J$13,SUM(M195:V195),"")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графік'!$J$13,XIRR($G$36:G195,$C$36:C195,0),"")</f>
        <v/>
      </c>
      <c r="X195" s="42"/>
      <c r="Y195" s="35"/>
    </row>
    <row r="196" spans="2:25" hidden="1" x14ac:dyDescent="0.2">
      <c r="B196" s="25">
        <v>160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99" t="str">
        <f>IF(B195&lt;'Умови та класичний графік'!$J$13,J196+K196+L196,"")</f>
        <v/>
      </c>
      <c r="H196" s="100"/>
      <c r="I196" s="32" t="str">
        <f>IF(B195&lt;'Умови та класичний графік'!$J$13,I195-J196,"")</f>
        <v/>
      </c>
      <c r="J196" s="32" t="str">
        <f>IF(B195&lt;'Умови та класичний графік'!$J$13,J195,"")</f>
        <v/>
      </c>
      <c r="K196" s="32" t="str">
        <f>IF(B195&lt;'Умови та класичний графік'!$J$13,((I195*'Умови та класичний графік'!$J$22)/365)*F196,"")</f>
        <v/>
      </c>
      <c r="L196" s="30" t="str">
        <f>IF(B195&lt;'Умови та класичний графік'!$J$13,SUM(M196:V196),"")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графік'!$J$13,XIRR($G$36:G196,$C$36:C196,0),"")</f>
        <v/>
      </c>
      <c r="X196" s="42"/>
      <c r="Y196" s="35"/>
    </row>
    <row r="197" spans="2:25" hidden="1" x14ac:dyDescent="0.2">
      <c r="B197" s="25">
        <v>161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99" t="str">
        <f>IF(B196&lt;'Умови та класичний графік'!$J$13,J197+K197+L197,"")</f>
        <v/>
      </c>
      <c r="H197" s="100"/>
      <c r="I197" s="32" t="str">
        <f>IF(B196&lt;'Умови та класичний графік'!$J$13,I196-J197,"")</f>
        <v/>
      </c>
      <c r="J197" s="32" t="str">
        <f>IF(B196&lt;'Умови та класичний графік'!$J$13,J196,"")</f>
        <v/>
      </c>
      <c r="K197" s="32" t="str">
        <f>IF(B196&lt;'Умови та класичний графік'!$J$13,((I196*'Умови та класичний графік'!$J$22)/365)*F197,"")</f>
        <v/>
      </c>
      <c r="L197" s="30" t="str">
        <f>IF(B196&lt;'Умови та класичний графік'!$J$13,SUM(M197:V197),"")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графік'!$J$13,XIRR($G$36:G197,$C$36:C197,0),"")</f>
        <v/>
      </c>
      <c r="X197" s="42"/>
      <c r="Y197" s="35"/>
    </row>
    <row r="198" spans="2:25" hidden="1" x14ac:dyDescent="0.2">
      <c r="B198" s="25">
        <v>162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99" t="str">
        <f>IF(B197&lt;'Умови та класичний графік'!$J$13,J198+K198+L198,"")</f>
        <v/>
      </c>
      <c r="H198" s="100"/>
      <c r="I198" s="32" t="str">
        <f>IF(B197&lt;'Умови та класичний графік'!$J$13,I197-J198,"")</f>
        <v/>
      </c>
      <c r="J198" s="32" t="str">
        <f>IF(B197&lt;'Умови та класичний графік'!$J$13,J197,"")</f>
        <v/>
      </c>
      <c r="K198" s="32" t="str">
        <f>IF(B197&lt;'Умови та класичний графік'!$J$13,((I197*'Умови та класичний графік'!$J$22)/365)*F198,"")</f>
        <v/>
      </c>
      <c r="L198" s="30" t="str">
        <f>IF(B197&lt;'Умови та класичний графік'!$J$13,SUM(M198:V198),"")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графік'!$J$13,XIRR($G$36:G198,$C$36:C198,0),"")</f>
        <v/>
      </c>
      <c r="X198" s="42"/>
      <c r="Y198" s="35"/>
    </row>
    <row r="199" spans="2:25" hidden="1" x14ac:dyDescent="0.2">
      <c r="B199" s="25">
        <v>163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99" t="str">
        <f>IF(B198&lt;'Умови та класичний графік'!$J$13,J199+K199+L199,"")</f>
        <v/>
      </c>
      <c r="H199" s="100"/>
      <c r="I199" s="32" t="str">
        <f>IF(B198&lt;'Умови та класичний графік'!$J$13,I198-J199,"")</f>
        <v/>
      </c>
      <c r="J199" s="32" t="str">
        <f>IF(B198&lt;'Умови та класичний графік'!$J$13,J198,"")</f>
        <v/>
      </c>
      <c r="K199" s="32" t="str">
        <f>IF(B198&lt;'Умови та класичний графік'!$J$13,((I198*'Умови та класичний графік'!$J$22)/365)*F199,"")</f>
        <v/>
      </c>
      <c r="L199" s="30" t="str">
        <f>IF(B198&lt;'Умови та класичний графік'!$J$13,SUM(M199:V199),"")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графік'!$J$13,XIRR($G$36:G199,$C$36:C199,0),"")</f>
        <v/>
      </c>
      <c r="X199" s="42"/>
      <c r="Y199" s="35"/>
    </row>
    <row r="200" spans="2:25" hidden="1" x14ac:dyDescent="0.2">
      <c r="B200" s="25">
        <v>164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99" t="str">
        <f>IF(B199&lt;'Умови та класичний графік'!$J$13,J200+K200+L200,"")</f>
        <v/>
      </c>
      <c r="H200" s="100"/>
      <c r="I200" s="32" t="str">
        <f>IF(B199&lt;'Умови та класичний графік'!$J$13,I199-J200,"")</f>
        <v/>
      </c>
      <c r="J200" s="32" t="str">
        <f>IF(B199&lt;'Умови та класичний графік'!$J$13,J199,"")</f>
        <v/>
      </c>
      <c r="K200" s="32" t="str">
        <f>IF(B199&lt;'Умови та класичний графік'!$J$13,((I199*'Умови та класичний графік'!$J$22)/365)*F200,"")</f>
        <v/>
      </c>
      <c r="L200" s="30" t="str">
        <f>IF(B199&lt;'Умови та класичний графік'!$J$13,SUM(M200:V200),"")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графік'!$J$13,XIRR($G$36:G200,$C$36:C200,0),"")</f>
        <v/>
      </c>
      <c r="X200" s="42"/>
      <c r="Y200" s="35"/>
    </row>
    <row r="201" spans="2:25" hidden="1" x14ac:dyDescent="0.2">
      <c r="B201" s="25">
        <v>165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99" t="str">
        <f>IF(B200&lt;'Умови та класичний графік'!$J$13,J201+K201+L201,"")</f>
        <v/>
      </c>
      <c r="H201" s="100"/>
      <c r="I201" s="32" t="str">
        <f>IF(B200&lt;'Умови та класичний графік'!$J$13,I200-J201,"")</f>
        <v/>
      </c>
      <c r="J201" s="32" t="str">
        <f>IF(B200&lt;'Умови та класичний графік'!$J$13,J200,"")</f>
        <v/>
      </c>
      <c r="K201" s="32" t="str">
        <f>IF(B200&lt;'Умови та класичний графік'!$J$13,((I200*'Умови та класичний графік'!$J$22)/365)*F201,"")</f>
        <v/>
      </c>
      <c r="L201" s="30" t="str">
        <f>IF(B200&lt;'Умови та класичний графік'!$J$13,SUM(M201:V201),"")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графік'!$J$13,XIRR($G$36:G201,$C$36:C201,0),"")</f>
        <v/>
      </c>
      <c r="X201" s="42"/>
      <c r="Y201" s="35"/>
    </row>
    <row r="202" spans="2:25" hidden="1" x14ac:dyDescent="0.2">
      <c r="B202" s="25">
        <v>166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99" t="str">
        <f>IF(B201&lt;'Умови та класичний графік'!$J$13,J202+K202+L202,"")</f>
        <v/>
      </c>
      <c r="H202" s="100"/>
      <c r="I202" s="32" t="str">
        <f>IF(B201&lt;'Умови та класичний графік'!$J$13,I201-J202,"")</f>
        <v/>
      </c>
      <c r="J202" s="32" t="str">
        <f>IF(B201&lt;'Умови та класичний графік'!$J$13,J201,"")</f>
        <v/>
      </c>
      <c r="K202" s="32" t="str">
        <f>IF(B201&lt;'Умови та класичний графік'!$J$13,((I201*'Умови та класичний графік'!$J$22)/365)*F202,"")</f>
        <v/>
      </c>
      <c r="L202" s="30" t="str">
        <f>IF(B201&lt;'Умови та класичний графік'!$J$13,SUM(M202:V202),"")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графік'!$J$13,XIRR($G$36:G202,$C$36:C202,0),"")</f>
        <v/>
      </c>
      <c r="X202" s="42"/>
      <c r="Y202" s="35"/>
    </row>
    <row r="203" spans="2:25" hidden="1" x14ac:dyDescent="0.2">
      <c r="B203" s="25">
        <v>167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99" t="str">
        <f>IF(B202&lt;'Умови та класичний графік'!$J$13,J203+K203+L203,"")</f>
        <v/>
      </c>
      <c r="H203" s="100"/>
      <c r="I203" s="32" t="str">
        <f>IF(B202&lt;'Умови та класичний графік'!$J$13,I202-J203,"")</f>
        <v/>
      </c>
      <c r="J203" s="32" t="str">
        <f>IF(B202&lt;'Умови та класичний графік'!$J$13,J202,"")</f>
        <v/>
      </c>
      <c r="K203" s="32" t="str">
        <f>IF(B202&lt;'Умови та класичний графік'!$J$13,((I202*'Умови та класичний графік'!$J$22)/365)*F203,"")</f>
        <v/>
      </c>
      <c r="L203" s="30" t="str">
        <f>IF(B202&lt;'Умови та класичний графік'!$J$13,SUM(M203:V203),"")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графік'!$J$13,XIRR($G$36:G203,$C$36:C203,0),"")</f>
        <v/>
      </c>
      <c r="X203" s="42"/>
      <c r="Y203" s="35"/>
    </row>
    <row r="204" spans="2:25" hidden="1" x14ac:dyDescent="0.2">
      <c r="B204" s="25">
        <v>168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99" t="str">
        <f>IF(B203&lt;'Умови та класичний графік'!$J$13,J204+K204+L204,"")</f>
        <v/>
      </c>
      <c r="H204" s="100"/>
      <c r="I204" s="32" t="str">
        <f>IF(B203&lt;'Умови та класичний графік'!$J$13,I203-J204,"")</f>
        <v/>
      </c>
      <c r="J204" s="32" t="str">
        <f>IF(B203&lt;'Умови та класичний графік'!$J$13,J203,"")</f>
        <v/>
      </c>
      <c r="K204" s="32" t="str">
        <f>IF(B203&lt;'Умови та класичний графік'!$J$13,((I203*'Умови та класичний графік'!$J$22)/365)*F204,"")</f>
        <v/>
      </c>
      <c r="L204" s="30" t="str">
        <f>IF(B203&lt;'Умови та класичний графік'!$J$13,SUM(M204:V204),"")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графік'!$J$13,('Умови та класичний графік'!$J$14*$N$19)+(I204*$N$20),"")</f>
        <v/>
      </c>
      <c r="V204" s="41"/>
      <c r="W204" s="43" t="str">
        <f>IF(B203&lt;'Умови та класичний графік'!$J$13,XIRR($G$36:G204,$C$36:C204,0),"")</f>
        <v/>
      </c>
      <c r="X204" s="42"/>
      <c r="Y204" s="35"/>
    </row>
    <row r="205" spans="2:25" hidden="1" x14ac:dyDescent="0.2">
      <c r="B205" s="25">
        <v>169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99" t="str">
        <f>IF(B204&lt;'Умови та класичний графік'!$J$13,J205+K205+L205,"")</f>
        <v/>
      </c>
      <c r="H205" s="100"/>
      <c r="I205" s="32" t="str">
        <f>IF(B204&lt;'Умови та класичний графік'!$J$13,I204-J205,"")</f>
        <v/>
      </c>
      <c r="J205" s="32" t="str">
        <f>IF(B204&lt;'Умови та класичний графік'!$J$13,J204,"")</f>
        <v/>
      </c>
      <c r="K205" s="32" t="str">
        <f>IF(B204&lt;'Умови та класичний графік'!$J$13,((I204*'Умови та класичний графік'!$J$22)/365)*F205,"")</f>
        <v/>
      </c>
      <c r="L205" s="30" t="str">
        <f>IF(B204&lt;'Умови та класичний графік'!$J$13,SUM(M205:V205),"")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графік'!$J$13,XIRR($G$36:G205,$C$36:C205,0),"")</f>
        <v/>
      </c>
      <c r="X205" s="42"/>
      <c r="Y205" s="35"/>
    </row>
    <row r="206" spans="2:25" hidden="1" x14ac:dyDescent="0.2">
      <c r="B206" s="25">
        <v>170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99" t="str">
        <f>IF(B205&lt;'Умови та класичний графік'!$J$13,J206+K206+L206,"")</f>
        <v/>
      </c>
      <c r="H206" s="100"/>
      <c r="I206" s="32" t="str">
        <f>IF(B205&lt;'Умови та класичний графік'!$J$13,I205-J206,"")</f>
        <v/>
      </c>
      <c r="J206" s="32" t="str">
        <f>IF(B205&lt;'Умови та класичний графік'!$J$13,J205,"")</f>
        <v/>
      </c>
      <c r="K206" s="32" t="str">
        <f>IF(B205&lt;'Умови та класичний графік'!$J$13,((I205*'Умови та класичний графік'!$J$22)/365)*F206,"")</f>
        <v/>
      </c>
      <c r="L206" s="30" t="str">
        <f>IF(B205&lt;'Умови та класичний графік'!$J$13,SUM(M206:V206),"")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графік'!$J$13,XIRR($G$36:G206,$C$36:C206,0),"")</f>
        <v/>
      </c>
      <c r="X206" s="42"/>
      <c r="Y206" s="35"/>
    </row>
    <row r="207" spans="2:25" hidden="1" x14ac:dyDescent="0.2">
      <c r="B207" s="25">
        <v>171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99" t="str">
        <f>IF(B206&lt;'Умови та класичний графік'!$J$13,J207+K207+L207,"")</f>
        <v/>
      </c>
      <c r="H207" s="100"/>
      <c r="I207" s="32" t="str">
        <f>IF(B206&lt;'Умови та класичний графік'!$J$13,I206-J207,"")</f>
        <v/>
      </c>
      <c r="J207" s="32" t="str">
        <f>IF(B206&lt;'Умови та класичний графік'!$J$13,J206,"")</f>
        <v/>
      </c>
      <c r="K207" s="32" t="str">
        <f>IF(B206&lt;'Умови та класичний графік'!$J$13,((I206*'Умови та класичний графік'!$J$22)/365)*F207,"")</f>
        <v/>
      </c>
      <c r="L207" s="30" t="str">
        <f>IF(B206&lt;'Умови та класичний графік'!$J$13,SUM(M207:V207),"")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графік'!$J$13,XIRR($G$36:G207,$C$36:C207,0),"")</f>
        <v/>
      </c>
      <c r="X207" s="42"/>
      <c r="Y207" s="35"/>
    </row>
    <row r="208" spans="2:25" hidden="1" x14ac:dyDescent="0.2">
      <c r="B208" s="25">
        <v>172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99" t="str">
        <f>IF(B207&lt;'Умови та класичний графік'!$J$13,J208+K208+L208,"")</f>
        <v/>
      </c>
      <c r="H208" s="100"/>
      <c r="I208" s="32" t="str">
        <f>IF(B207&lt;'Умови та класичний графік'!$J$13,I207-J208,"")</f>
        <v/>
      </c>
      <c r="J208" s="32" t="str">
        <f>IF(B207&lt;'Умови та класичний графік'!$J$13,J207,"")</f>
        <v/>
      </c>
      <c r="K208" s="32" t="str">
        <f>IF(B207&lt;'Умови та класичний графік'!$J$13,((I207*'Умови та класичний графік'!$J$22)/365)*F208,"")</f>
        <v/>
      </c>
      <c r="L208" s="30" t="str">
        <f>IF(B207&lt;'Умови та класичний графік'!$J$13,SUM(M208:V208),"")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графік'!$J$13,XIRR($G$36:G208,$C$36:C208,0),"")</f>
        <v/>
      </c>
      <c r="X208" s="42"/>
      <c r="Y208" s="35"/>
    </row>
    <row r="209" spans="2:25" hidden="1" x14ac:dyDescent="0.2">
      <c r="B209" s="25">
        <v>173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99" t="str">
        <f>IF(B208&lt;'Умови та класичний графік'!$J$13,J209+K209+L209,"")</f>
        <v/>
      </c>
      <c r="H209" s="100"/>
      <c r="I209" s="32" t="str">
        <f>IF(B208&lt;'Умови та класичний графік'!$J$13,I208-J209,"")</f>
        <v/>
      </c>
      <c r="J209" s="32" t="str">
        <f>IF(B208&lt;'Умови та класичний графік'!$J$13,J208,"")</f>
        <v/>
      </c>
      <c r="K209" s="32" t="str">
        <f>IF(B208&lt;'Умови та класичний графік'!$J$13,((I208*'Умови та класичний графік'!$J$22)/365)*F209,"")</f>
        <v/>
      </c>
      <c r="L209" s="30" t="str">
        <f>IF(B208&lt;'Умови та класичний графік'!$J$13,SUM(M209:V209),"")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графік'!$J$13,XIRR($G$36:G209,$C$36:C209,0),"")</f>
        <v/>
      </c>
      <c r="X209" s="42"/>
      <c r="Y209" s="35"/>
    </row>
    <row r="210" spans="2:25" hidden="1" x14ac:dyDescent="0.2">
      <c r="B210" s="25">
        <v>174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99" t="str">
        <f>IF(B209&lt;'Умови та класичний графік'!$J$13,J210+K210+L210,"")</f>
        <v/>
      </c>
      <c r="H210" s="100"/>
      <c r="I210" s="32" t="str">
        <f>IF(B209&lt;'Умови та класичний графік'!$J$13,I209-J210,"")</f>
        <v/>
      </c>
      <c r="J210" s="32" t="str">
        <f>IF(B209&lt;'Умови та класичний графік'!$J$13,J209,"")</f>
        <v/>
      </c>
      <c r="K210" s="32" t="str">
        <f>IF(B209&lt;'Умови та класичний графік'!$J$13,((I209*'Умови та класичний графік'!$J$22)/365)*F210,"")</f>
        <v/>
      </c>
      <c r="L210" s="30" t="str">
        <f>IF(B209&lt;'Умови та класичний графік'!$J$13,SUM(M210:V210),"")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графік'!$J$13,XIRR($G$36:G210,$C$36:C210,0),"")</f>
        <v/>
      </c>
      <c r="X210" s="42"/>
      <c r="Y210" s="35"/>
    </row>
    <row r="211" spans="2:25" hidden="1" x14ac:dyDescent="0.2">
      <c r="B211" s="25">
        <v>175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99" t="str">
        <f>IF(B210&lt;'Умови та класичний графік'!$J$13,J211+K211+L211,"")</f>
        <v/>
      </c>
      <c r="H211" s="100"/>
      <c r="I211" s="32" t="str">
        <f>IF(B210&lt;'Умови та класичний графік'!$J$13,I210-J211,"")</f>
        <v/>
      </c>
      <c r="J211" s="32" t="str">
        <f>IF(B210&lt;'Умови та класичний графік'!$J$13,J210,"")</f>
        <v/>
      </c>
      <c r="K211" s="32" t="str">
        <f>IF(B210&lt;'Умови та класичний графік'!$J$13,((I210*'Умови та класичний графік'!$J$22)/365)*F211,"")</f>
        <v/>
      </c>
      <c r="L211" s="30" t="str">
        <f>IF(B210&lt;'Умови та класичний графік'!$J$13,SUM(M211:V211),"")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графік'!$J$13,XIRR($G$36:G211,$C$36:C211,0),"")</f>
        <v/>
      </c>
      <c r="X211" s="42"/>
      <c r="Y211" s="35"/>
    </row>
    <row r="212" spans="2:25" hidden="1" x14ac:dyDescent="0.2">
      <c r="B212" s="25">
        <v>176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99" t="str">
        <f>IF(B211&lt;'Умови та класичний графік'!$J$13,J212+K212+L212,"")</f>
        <v/>
      </c>
      <c r="H212" s="100"/>
      <c r="I212" s="32" t="str">
        <f>IF(B211&lt;'Умови та класичний графік'!$J$13,I211-J212,"")</f>
        <v/>
      </c>
      <c r="J212" s="32" t="str">
        <f>IF(B211&lt;'Умови та класичний графік'!$J$13,J211,"")</f>
        <v/>
      </c>
      <c r="K212" s="32" t="str">
        <f>IF(B211&lt;'Умови та класичний графік'!$J$13,((I211*'Умови та класичний графік'!$J$22)/365)*F212,"")</f>
        <v/>
      </c>
      <c r="L212" s="30" t="str">
        <f>IF(B211&lt;'Умови та класичний графік'!$J$13,SUM(M212:V212),"")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графік'!$J$13,XIRR($G$36:G212,$C$36:C212,0),"")</f>
        <v/>
      </c>
      <c r="X212" s="42"/>
      <c r="Y212" s="35"/>
    </row>
    <row r="213" spans="2:25" hidden="1" x14ac:dyDescent="0.2">
      <c r="B213" s="25">
        <v>177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99" t="str">
        <f>IF(B212&lt;'Умови та класичний графік'!$J$13,J213+K213+L213,"")</f>
        <v/>
      </c>
      <c r="H213" s="100"/>
      <c r="I213" s="32" t="str">
        <f>IF(B212&lt;'Умови та класичний графік'!$J$13,I212-J213,"")</f>
        <v/>
      </c>
      <c r="J213" s="32" t="str">
        <f>IF(B212&lt;'Умови та класичний графік'!$J$13,J212,"")</f>
        <v/>
      </c>
      <c r="K213" s="32" t="str">
        <f>IF(B212&lt;'Умови та класичний графік'!$J$13,((I212*'Умови та класичний графік'!$J$22)/365)*F213,"")</f>
        <v/>
      </c>
      <c r="L213" s="30" t="str">
        <f>IF(B212&lt;'Умови та класичний графік'!$J$13,SUM(M213:V213),"")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графік'!$J$13,XIRR($G$36:G213,$C$36:C213,0),"")</f>
        <v/>
      </c>
      <c r="X213" s="42"/>
      <c r="Y213" s="35"/>
    </row>
    <row r="214" spans="2:25" hidden="1" x14ac:dyDescent="0.2">
      <c r="B214" s="25">
        <v>178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99" t="str">
        <f>IF(B213&lt;'Умови та класичний графік'!$J$13,J214+K214+L214,"")</f>
        <v/>
      </c>
      <c r="H214" s="100"/>
      <c r="I214" s="32" t="str">
        <f>IF(B213&lt;'Умови та класичний графік'!$J$13,I213-J214,"")</f>
        <v/>
      </c>
      <c r="J214" s="32" t="str">
        <f>IF(B213&lt;'Умови та класичний графік'!$J$13,J213,"")</f>
        <v/>
      </c>
      <c r="K214" s="32" t="str">
        <f>IF(B213&lt;'Умови та класичний графік'!$J$13,((I213*'Умови та класичний графік'!$J$22)/365)*F214,"")</f>
        <v/>
      </c>
      <c r="L214" s="30" t="str">
        <f>IF(B213&lt;'Умови та класичний графік'!$J$13,SUM(M214:V214),"")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графік'!$J$13,XIRR($G$36:G214,$C$36:C214,0),"")</f>
        <v/>
      </c>
      <c r="X214" s="42"/>
      <c r="Y214" s="35"/>
    </row>
    <row r="215" spans="2:25" hidden="1" x14ac:dyDescent="0.2">
      <c r="B215" s="25">
        <v>179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99" t="str">
        <f>IF(B214&lt;'Умови та класичний графік'!$J$13,J215+K215+L215,"")</f>
        <v/>
      </c>
      <c r="H215" s="100"/>
      <c r="I215" s="32" t="str">
        <f>IF(B214&lt;'Умови та класичний графік'!$J$13,I214-J215,"")</f>
        <v/>
      </c>
      <c r="J215" s="32" t="str">
        <f>IF(B214&lt;'Умови та класичний графік'!$J$13,J214,"")</f>
        <v/>
      </c>
      <c r="K215" s="32" t="str">
        <f>IF(B214&lt;'Умови та класичний графік'!$J$13,((I214*'Умови та класичний графік'!$J$22)/365)*F215,"")</f>
        <v/>
      </c>
      <c r="L215" s="30" t="str">
        <f>IF(B214&lt;'Умови та класичний графік'!$J$13,SUM(M215:V215),"")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графік'!$J$13,XIRR($G$36:G215,$C$36:C215,0),"")</f>
        <v/>
      </c>
      <c r="X215" s="42"/>
      <c r="Y215" s="35"/>
    </row>
    <row r="216" spans="2:25" hidden="1" x14ac:dyDescent="0.2">
      <c r="B216" s="25">
        <v>180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99" t="str">
        <f>IF(B215&lt;'Умови та класичний графік'!$J$13,J216+K216+L216,"")</f>
        <v/>
      </c>
      <c r="H216" s="100"/>
      <c r="I216" s="32" t="str">
        <f>IF(B215&lt;'Умови та класичний графік'!$J$13,I215-J216,"")</f>
        <v/>
      </c>
      <c r="J216" s="32" t="str">
        <f>IF(B215&lt;'Умови та класичний графік'!$J$13,J215,"")</f>
        <v/>
      </c>
      <c r="K216" s="32" t="str">
        <f>IF(B215&lt;'Умови та класичний графік'!$J$13,((I215*'Умови та класичний графік'!$J$22)/365)*F216,"")</f>
        <v/>
      </c>
      <c r="L216" s="30" t="str">
        <f>IF(B215&lt;'Умови та класичний графік'!$J$13,SUM(M216:V216),"")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графік'!$J$13,('Умови та класичний графік'!$J$14*$N$19)+(I216*$N$20),"")</f>
        <v/>
      </c>
      <c r="V216" s="41"/>
      <c r="W216" s="43" t="str">
        <f>IF(B215&lt;'Умови та класичний графік'!$J$13,XIRR($G$36:G216,$C$36:C216,0),"")</f>
        <v/>
      </c>
      <c r="X216" s="42"/>
      <c r="Y216" s="35"/>
    </row>
    <row r="217" spans="2:25" hidden="1" x14ac:dyDescent="0.2">
      <c r="B217" s="25">
        <v>181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99" t="str">
        <f>IF(B216&lt;'Умови та класичний графік'!$J$13,J217+K217+L217,"")</f>
        <v/>
      </c>
      <c r="H217" s="100"/>
      <c r="I217" s="32" t="str">
        <f>IF(B216&lt;'Умови та класичний графік'!$J$13,I216-J217,"")</f>
        <v/>
      </c>
      <c r="J217" s="32" t="str">
        <f>IF(B216&lt;'Умови та класичний графік'!$J$13,J216,"")</f>
        <v/>
      </c>
      <c r="K217" s="32" t="str">
        <f>IF(B216&lt;'Умови та класичний графік'!$J$13,((I216*'Умови та класичний графік'!$J$22)/365)*F217,"")</f>
        <v/>
      </c>
      <c r="L217" s="30" t="str">
        <f>IF(B216&lt;'Умови та класичний графік'!$J$13,SUM(M217:V217),"")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графік'!$J$13,XIRR($G$36:G217,$C$36:C217,0),"")</f>
        <v/>
      </c>
      <c r="X217" s="42"/>
      <c r="Y217" s="35"/>
    </row>
    <row r="218" spans="2:25" hidden="1" x14ac:dyDescent="0.2">
      <c r="B218" s="25">
        <v>182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99" t="str">
        <f>IF(B217&lt;'Умови та класичний графік'!$J$13,J218+K218+L218,"")</f>
        <v/>
      </c>
      <c r="H218" s="100"/>
      <c r="I218" s="32" t="str">
        <f>IF(B217&lt;'Умови та класичний графік'!$J$13,I217-J218,"")</f>
        <v/>
      </c>
      <c r="J218" s="32" t="str">
        <f>IF(B217&lt;'Умови та класичний графік'!$J$13,J217,"")</f>
        <v/>
      </c>
      <c r="K218" s="32" t="str">
        <f>IF(B217&lt;'Умови та класичний графік'!$J$13,((I217*'Умови та класичний графік'!$J$22)/365)*F218,"")</f>
        <v/>
      </c>
      <c r="L218" s="30" t="str">
        <f>IF(B217&lt;'Умови та класичний графік'!$J$13,SUM(M218:V218),"")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графік'!$J$13,XIRR($G$36:G218,$C$36:C218,0),"")</f>
        <v/>
      </c>
      <c r="X218" s="42"/>
      <c r="Y218" s="35"/>
    </row>
    <row r="219" spans="2:25" hidden="1" x14ac:dyDescent="0.2">
      <c r="B219" s="25">
        <v>183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99" t="str">
        <f>IF(B218&lt;'Умови та класичний графік'!$J$13,J219+K219+L219,"")</f>
        <v/>
      </c>
      <c r="H219" s="100"/>
      <c r="I219" s="32" t="str">
        <f>IF(B218&lt;'Умови та класичний графік'!$J$13,I218-J219,"")</f>
        <v/>
      </c>
      <c r="J219" s="32" t="str">
        <f>IF(B218&lt;'Умови та класичний графік'!$J$13,J218,"")</f>
        <v/>
      </c>
      <c r="K219" s="32" t="str">
        <f>IF(B218&lt;'Умови та класичний графік'!$J$13,((I218*'Умови та класичний графік'!$J$22)/365)*F219,"")</f>
        <v/>
      </c>
      <c r="L219" s="30" t="str">
        <f>IF(B218&lt;'Умови та класичний графік'!$J$13,SUM(M219:V219),"")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графік'!$J$13,XIRR($G$36:G219,$C$36:C219,0),"")</f>
        <v/>
      </c>
      <c r="X219" s="42"/>
      <c r="Y219" s="35"/>
    </row>
    <row r="220" spans="2:25" hidden="1" x14ac:dyDescent="0.2">
      <c r="B220" s="25">
        <v>184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99" t="str">
        <f>IF(B219&lt;'Умови та класичний графік'!$J$13,J220+K220+L220,"")</f>
        <v/>
      </c>
      <c r="H220" s="100"/>
      <c r="I220" s="32" t="str">
        <f>IF(B219&lt;'Умови та класичний графік'!$J$13,I219-J220,"")</f>
        <v/>
      </c>
      <c r="J220" s="32" t="str">
        <f>IF(B219&lt;'Умови та класичний графік'!$J$13,J219,"")</f>
        <v/>
      </c>
      <c r="K220" s="32" t="str">
        <f>IF(B219&lt;'Умови та класичний графік'!$J$13,((I219*'Умови та класичний графік'!$J$22)/365)*F220,"")</f>
        <v/>
      </c>
      <c r="L220" s="30" t="str">
        <f>IF(B219&lt;'Умови та класичний графік'!$J$13,SUM(M220:V220),"")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графік'!$J$13,XIRR($G$36:G220,$C$36:C220,0),"")</f>
        <v/>
      </c>
      <c r="X220" s="42"/>
      <c r="Y220" s="35"/>
    </row>
    <row r="221" spans="2:25" hidden="1" x14ac:dyDescent="0.2">
      <c r="B221" s="25">
        <v>185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99" t="str">
        <f>IF(B220&lt;'Умови та класичний графік'!$J$13,J221+K221+L221,"")</f>
        <v/>
      </c>
      <c r="H221" s="100"/>
      <c r="I221" s="32" t="str">
        <f>IF(B220&lt;'Умови та класичний графік'!$J$13,I220-J221,"")</f>
        <v/>
      </c>
      <c r="J221" s="32" t="str">
        <f>IF(B220&lt;'Умови та класичний графік'!$J$13,J220,"")</f>
        <v/>
      </c>
      <c r="K221" s="32" t="str">
        <f>IF(B220&lt;'Умови та класичний графік'!$J$13,((I220*'Умови та класичний графік'!$J$22)/365)*F221,"")</f>
        <v/>
      </c>
      <c r="L221" s="30" t="str">
        <f>IF(B220&lt;'Умови та класичний графік'!$J$13,SUM(M221:V221),"")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графік'!$J$13,XIRR($G$36:G221,$C$36:C221,0),"")</f>
        <v/>
      </c>
      <c r="X221" s="42"/>
      <c r="Y221" s="35"/>
    </row>
    <row r="222" spans="2:25" hidden="1" x14ac:dyDescent="0.2">
      <c r="B222" s="25">
        <v>186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99" t="str">
        <f>IF(B221&lt;'Умови та класичний графік'!$J$13,J222+K222+L222,"")</f>
        <v/>
      </c>
      <c r="H222" s="100"/>
      <c r="I222" s="32" t="str">
        <f>IF(B221&lt;'Умови та класичний графік'!$J$13,I221-J222,"")</f>
        <v/>
      </c>
      <c r="J222" s="32" t="str">
        <f>IF(B221&lt;'Умови та класичний графік'!$J$13,J221,"")</f>
        <v/>
      </c>
      <c r="K222" s="32" t="str">
        <f>IF(B221&lt;'Умови та класичний графік'!$J$13,((I221*'Умови та класичний графік'!$J$22)/365)*F222,"")</f>
        <v/>
      </c>
      <c r="L222" s="30" t="str">
        <f>IF(B221&lt;'Умови та класичний графік'!$J$13,SUM(M222:V222),"")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графік'!$J$13,XIRR($G$36:G222,$C$36:C222,0),"")</f>
        <v/>
      </c>
      <c r="X222" s="42"/>
      <c r="Y222" s="35"/>
    </row>
    <row r="223" spans="2:25" hidden="1" x14ac:dyDescent="0.2">
      <c r="B223" s="25">
        <v>187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99" t="str">
        <f>IF(B222&lt;'Умови та класичний графік'!$J$13,J223+K223+L223,"")</f>
        <v/>
      </c>
      <c r="H223" s="100"/>
      <c r="I223" s="32" t="str">
        <f>IF(B222&lt;'Умови та класичний графік'!$J$13,I222-J223,"")</f>
        <v/>
      </c>
      <c r="J223" s="32" t="str">
        <f>IF(B222&lt;'Умови та класичний графік'!$J$13,J222,"")</f>
        <v/>
      </c>
      <c r="K223" s="32" t="str">
        <f>IF(B222&lt;'Умови та класичний графік'!$J$13,((I222*'Умови та класичний графік'!$J$22)/365)*F223,"")</f>
        <v/>
      </c>
      <c r="L223" s="30" t="str">
        <f>IF(B222&lt;'Умови та класичний графік'!$J$13,SUM(M223:V223),"")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графік'!$J$13,XIRR($G$36:G223,$C$36:C223,0),"")</f>
        <v/>
      </c>
      <c r="X223" s="42"/>
      <c r="Y223" s="35"/>
    </row>
    <row r="224" spans="2:25" hidden="1" x14ac:dyDescent="0.2">
      <c r="B224" s="25">
        <v>188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99" t="str">
        <f>IF(B223&lt;'Умови та класичний графік'!$J$13,J224+K224+L224,"")</f>
        <v/>
      </c>
      <c r="H224" s="100"/>
      <c r="I224" s="32" t="str">
        <f>IF(B223&lt;'Умови та класичний графік'!$J$13,I223-J224,"")</f>
        <v/>
      </c>
      <c r="J224" s="32" t="str">
        <f>IF(B223&lt;'Умови та класичний графік'!$J$13,J223,"")</f>
        <v/>
      </c>
      <c r="K224" s="32" t="str">
        <f>IF(B223&lt;'Умови та класичний графік'!$J$13,((I223*'Умови та класичний графік'!$J$22)/365)*F224,"")</f>
        <v/>
      </c>
      <c r="L224" s="30" t="str">
        <f>IF(B223&lt;'Умови та класичний графік'!$J$13,SUM(M224:V224),"")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графік'!$J$13,XIRR($G$36:G224,$C$36:C224,0),"")</f>
        <v/>
      </c>
      <c r="X224" s="42"/>
      <c r="Y224" s="35"/>
    </row>
    <row r="225" spans="2:25" hidden="1" x14ac:dyDescent="0.2">
      <c r="B225" s="25">
        <v>189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99" t="str">
        <f>IF(B224&lt;'Умови та класичний графік'!$J$13,J225+K225+L225,"")</f>
        <v/>
      </c>
      <c r="H225" s="100"/>
      <c r="I225" s="32" t="str">
        <f>IF(B224&lt;'Умови та класичний графік'!$J$13,I224-J225,"")</f>
        <v/>
      </c>
      <c r="J225" s="32" t="str">
        <f>IF(B224&lt;'Умови та класичний графік'!$J$13,J224,"")</f>
        <v/>
      </c>
      <c r="K225" s="32" t="str">
        <f>IF(B224&lt;'Умови та класичний графік'!$J$13,((I224*'Умови та класичний графік'!$J$22)/365)*F225,"")</f>
        <v/>
      </c>
      <c r="L225" s="30" t="str">
        <f>IF(B224&lt;'Умови та класичний графік'!$J$13,SUM(M225:V225),"")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графік'!$J$13,XIRR($G$36:G225,$C$36:C225,0),"")</f>
        <v/>
      </c>
      <c r="X225" s="42"/>
      <c r="Y225" s="35"/>
    </row>
    <row r="226" spans="2:25" hidden="1" x14ac:dyDescent="0.2">
      <c r="B226" s="25">
        <v>190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99" t="str">
        <f>IF(B225&lt;'Умови та класичний графік'!$J$13,J226+K226+L226,"")</f>
        <v/>
      </c>
      <c r="H226" s="100"/>
      <c r="I226" s="32" t="str">
        <f>IF(B225&lt;'Умови та класичний графік'!$J$13,I225-J226,"")</f>
        <v/>
      </c>
      <c r="J226" s="32" t="str">
        <f>IF(B225&lt;'Умови та класичний графік'!$J$13,J225,"")</f>
        <v/>
      </c>
      <c r="K226" s="32" t="str">
        <f>IF(B225&lt;'Умови та класичний графік'!$J$13,((I225*'Умови та класичний графік'!$J$22)/365)*F226,"")</f>
        <v/>
      </c>
      <c r="L226" s="30" t="str">
        <f>IF(B225&lt;'Умови та класичний графік'!$J$13,SUM(M226:V226),"")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графік'!$J$13,XIRR($G$36:G226,$C$36:C226,0),"")</f>
        <v/>
      </c>
      <c r="X226" s="42"/>
      <c r="Y226" s="35"/>
    </row>
    <row r="227" spans="2:25" hidden="1" x14ac:dyDescent="0.2">
      <c r="B227" s="25">
        <v>191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99" t="str">
        <f>IF(B226&lt;'Умови та класичний графік'!$J$13,J227+K227+L227,"")</f>
        <v/>
      </c>
      <c r="H227" s="100"/>
      <c r="I227" s="32" t="str">
        <f>IF(B226&lt;'Умови та класичний графік'!$J$13,I226-J227,"")</f>
        <v/>
      </c>
      <c r="J227" s="32" t="str">
        <f>IF(B226&lt;'Умови та класичний графік'!$J$13,J226,"")</f>
        <v/>
      </c>
      <c r="K227" s="32" t="str">
        <f>IF(B226&lt;'Умови та класичний графік'!$J$13,((I226*'Умови та класичний графік'!$J$22)/365)*F227,"")</f>
        <v/>
      </c>
      <c r="L227" s="30" t="str">
        <f>IF(B226&lt;'Умови та класичний графік'!$J$13,SUM(M227:V227),"")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графік'!$J$13,XIRR($G$36:G227,$C$36:C227,0),"")</f>
        <v/>
      </c>
      <c r="X227" s="42"/>
      <c r="Y227" s="35"/>
    </row>
    <row r="228" spans="2:25" hidden="1" x14ac:dyDescent="0.2">
      <c r="B228" s="25">
        <v>192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99" t="str">
        <f>IF(B227&lt;'Умови та класичний графік'!$J$13,J228+K228+L228,"")</f>
        <v/>
      </c>
      <c r="H228" s="100"/>
      <c r="I228" s="32" t="str">
        <f>IF(B227&lt;'Умови та класичний графік'!$J$13,I227-J228,"")</f>
        <v/>
      </c>
      <c r="J228" s="32" t="str">
        <f>IF(B227&lt;'Умови та класичний графік'!$J$13,J227,"")</f>
        <v/>
      </c>
      <c r="K228" s="32" t="str">
        <f>IF(B227&lt;'Умови та класичний графік'!$J$13,((I227*'Умови та класичний графік'!$J$22)/365)*F228,"")</f>
        <v/>
      </c>
      <c r="L228" s="30" t="str">
        <f>IF(B227&lt;'Умови та класичний графік'!$J$13,SUM(M228:V228),"")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графік'!$J$13,('Умови та класичний графік'!$J$14*$N$19)+(I228*$N$20),"")</f>
        <v/>
      </c>
      <c r="V228" s="41"/>
      <c r="W228" s="43" t="str">
        <f>IF(B227&lt;'Умови та класичний графік'!$J$13,XIRR($G$36:G228,$C$36:C228,0),"")</f>
        <v/>
      </c>
      <c r="X228" s="42"/>
      <c r="Y228" s="35"/>
    </row>
    <row r="229" spans="2:25" hidden="1" x14ac:dyDescent="0.2">
      <c r="B229" s="25">
        <v>193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99" t="str">
        <f>IF(B228&lt;'Умови та класичний графік'!$J$13,J229+K229+L229,"")</f>
        <v/>
      </c>
      <c r="H229" s="100"/>
      <c r="I229" s="32" t="str">
        <f>IF(B228&lt;'Умови та класичний графік'!$J$13,I228-J229,"")</f>
        <v/>
      </c>
      <c r="J229" s="32" t="str">
        <f>IF(B228&lt;'Умови та класичний графік'!$J$13,J228,"")</f>
        <v/>
      </c>
      <c r="K229" s="32" t="str">
        <f>IF(B228&lt;'Умови та класичний графік'!$J$13,((I228*'Умови та класичний графік'!$J$22)/365)*F229,"")</f>
        <v/>
      </c>
      <c r="L229" s="30" t="str">
        <f>IF(B228&lt;'Умови та класичний графік'!$J$13,SUM(M229:V229),"")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графік'!$J$13,XIRR($G$36:G229,$C$36:C229,0),"")</f>
        <v/>
      </c>
      <c r="X229" s="42"/>
      <c r="Y229" s="35"/>
    </row>
    <row r="230" spans="2:25" hidden="1" x14ac:dyDescent="0.2">
      <c r="B230" s="25">
        <v>194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99" t="str">
        <f>IF(B229&lt;'Умови та класичний графік'!$J$13,J230+K230+L230,"")</f>
        <v/>
      </c>
      <c r="H230" s="100"/>
      <c r="I230" s="32" t="str">
        <f>IF(B229&lt;'Умови та класичний графік'!$J$13,I229-J230,"")</f>
        <v/>
      </c>
      <c r="J230" s="32" t="str">
        <f>IF(B229&lt;'Умови та класичний графік'!$J$13,J229,"")</f>
        <v/>
      </c>
      <c r="K230" s="32" t="str">
        <f>IF(B229&lt;'Умови та класичний графік'!$J$13,((I229*'Умови та класичний графік'!$J$22)/365)*F230,"")</f>
        <v/>
      </c>
      <c r="L230" s="30" t="str">
        <f>IF(B229&lt;'Умови та класичний графік'!$J$13,SUM(M230:V230),"")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графік'!$J$13,XIRR($G$36:G230,$C$36:C230,0),"")</f>
        <v/>
      </c>
      <c r="X230" s="42"/>
      <c r="Y230" s="35"/>
    </row>
    <row r="231" spans="2:25" hidden="1" x14ac:dyDescent="0.2">
      <c r="B231" s="25">
        <v>195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99" t="str">
        <f>IF(B230&lt;'Умови та класичний графік'!$J$13,J231+K231+L231,"")</f>
        <v/>
      </c>
      <c r="H231" s="100"/>
      <c r="I231" s="32" t="str">
        <f>IF(B230&lt;'Умови та класичний графік'!$J$13,I230-J231,"")</f>
        <v/>
      </c>
      <c r="J231" s="32" t="str">
        <f>IF(B230&lt;'Умови та класичний графік'!$J$13,J230,"")</f>
        <v/>
      </c>
      <c r="K231" s="32" t="str">
        <f>IF(B230&lt;'Умови та класичний графік'!$J$13,((I230*'Умови та класичний графік'!$J$22)/365)*F231,"")</f>
        <v/>
      </c>
      <c r="L231" s="30" t="str">
        <f>IF(B230&lt;'Умови та класичний графік'!$J$13,SUM(M231:V231),"")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графік'!$J$13,XIRR($G$36:G231,$C$36:C231,0),"")</f>
        <v/>
      </c>
      <c r="X231" s="42"/>
      <c r="Y231" s="35"/>
    </row>
    <row r="232" spans="2:25" hidden="1" x14ac:dyDescent="0.2">
      <c r="B232" s="25">
        <v>196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99" t="str">
        <f>IF(B231&lt;'Умови та класичний графік'!$J$13,J232+K232+L232,"")</f>
        <v/>
      </c>
      <c r="H232" s="100"/>
      <c r="I232" s="32" t="str">
        <f>IF(B231&lt;'Умови та класичний графік'!$J$13,I231-J232,"")</f>
        <v/>
      </c>
      <c r="J232" s="32" t="str">
        <f>IF(B231&lt;'Умови та класичний графік'!$J$13,J231,"")</f>
        <v/>
      </c>
      <c r="K232" s="32" t="str">
        <f>IF(B231&lt;'Умови та класичний графік'!$J$13,((I231*'Умови та класичний графік'!$J$22)/365)*F232,"")</f>
        <v/>
      </c>
      <c r="L232" s="30" t="str">
        <f>IF(B231&lt;'Умови та класичний графік'!$J$13,SUM(M232:V232),"")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графік'!$J$13,XIRR($G$36:G232,$C$36:C232,0),"")</f>
        <v/>
      </c>
      <c r="X232" s="42"/>
      <c r="Y232" s="35"/>
    </row>
    <row r="233" spans="2:25" hidden="1" x14ac:dyDescent="0.2">
      <c r="B233" s="25">
        <v>197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99" t="str">
        <f>IF(B232&lt;'Умови та класичний графік'!$J$13,J233+K233+L233,"")</f>
        <v/>
      </c>
      <c r="H233" s="100"/>
      <c r="I233" s="32" t="str">
        <f>IF(B232&lt;'Умови та класичний графік'!$J$13,I232-J233,"")</f>
        <v/>
      </c>
      <c r="J233" s="32" t="str">
        <f>IF(B232&lt;'Умови та класичний графік'!$J$13,J232,"")</f>
        <v/>
      </c>
      <c r="K233" s="32" t="str">
        <f>IF(B232&lt;'Умови та класичний графік'!$J$13,((I232*'Умови та класичний графік'!$J$22)/365)*F233,"")</f>
        <v/>
      </c>
      <c r="L233" s="30" t="str">
        <f>IF(B232&lt;'Умови та класичний графік'!$J$13,SUM(M233:V233),"")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графік'!$J$13,XIRR($G$36:G233,$C$36:C233,0),"")</f>
        <v/>
      </c>
      <c r="X233" s="42"/>
      <c r="Y233" s="35"/>
    </row>
    <row r="234" spans="2:25" hidden="1" x14ac:dyDescent="0.2">
      <c r="B234" s="25">
        <v>198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99" t="str">
        <f>IF(B233&lt;'Умови та класичний графік'!$J$13,J234+K234+L234,"")</f>
        <v/>
      </c>
      <c r="H234" s="100"/>
      <c r="I234" s="32" t="str">
        <f>IF(B233&lt;'Умови та класичний графік'!$J$13,I233-J234,"")</f>
        <v/>
      </c>
      <c r="J234" s="32" t="str">
        <f>IF(B233&lt;'Умови та класичний графік'!$J$13,J233,"")</f>
        <v/>
      </c>
      <c r="K234" s="32" t="str">
        <f>IF(B233&lt;'Умови та класичний графік'!$J$13,((I233*'Умови та класичний графік'!$J$22)/365)*F234,"")</f>
        <v/>
      </c>
      <c r="L234" s="30" t="str">
        <f>IF(B233&lt;'Умови та класичний графік'!$J$13,SUM(M234:V234),"")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графік'!$J$13,XIRR($G$36:G234,$C$36:C234,0),"")</f>
        <v/>
      </c>
      <c r="X234" s="42"/>
      <c r="Y234" s="35"/>
    </row>
    <row r="235" spans="2:25" hidden="1" x14ac:dyDescent="0.2">
      <c r="B235" s="25">
        <v>199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99" t="str">
        <f>IF(B234&lt;'Умови та класичний графік'!$J$13,J235+K235+L235,"")</f>
        <v/>
      </c>
      <c r="H235" s="100"/>
      <c r="I235" s="32" t="str">
        <f>IF(B234&lt;'Умови та класичний графік'!$J$13,I234-J235,"")</f>
        <v/>
      </c>
      <c r="J235" s="32" t="str">
        <f>IF(B234&lt;'Умови та класичний графік'!$J$13,J234,"")</f>
        <v/>
      </c>
      <c r="K235" s="32" t="str">
        <f>IF(B234&lt;'Умови та класичний графік'!$J$13,((I234*'Умови та класичний графік'!$J$22)/365)*F235,"")</f>
        <v/>
      </c>
      <c r="L235" s="30" t="str">
        <f>IF(B234&lt;'Умови та класичний графік'!$J$13,SUM(M235:V235),"")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графік'!$J$13,XIRR($G$36:G235,$C$36:C235,0),"")</f>
        <v/>
      </c>
      <c r="X235" s="42"/>
      <c r="Y235" s="35"/>
    </row>
    <row r="236" spans="2:25" hidden="1" x14ac:dyDescent="0.2">
      <c r="B236" s="25">
        <v>200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99" t="str">
        <f>IF(B235&lt;'Умови та класичний графік'!$J$13,J236+K236+L236,"")</f>
        <v/>
      </c>
      <c r="H236" s="100"/>
      <c r="I236" s="32" t="str">
        <f>IF(B235&lt;'Умови та класичний графік'!$J$13,I235-J236,"")</f>
        <v/>
      </c>
      <c r="J236" s="32" t="str">
        <f>IF(B235&lt;'Умови та класичний графік'!$J$13,J235,"")</f>
        <v/>
      </c>
      <c r="K236" s="32" t="str">
        <f>IF(B235&lt;'Умови та класичний графік'!$J$13,((I235*'Умови та класичний графік'!$J$22)/365)*F236,"")</f>
        <v/>
      </c>
      <c r="L236" s="30" t="str">
        <f>IF(B235&lt;'Умови та класичний графік'!$J$13,SUM(M236:V236),"")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графік'!$J$13,XIRR($G$36:G236,$C$36:C236,0),"")</f>
        <v/>
      </c>
      <c r="X236" s="42"/>
      <c r="Y236" s="35"/>
    </row>
    <row r="237" spans="2:25" hidden="1" x14ac:dyDescent="0.2">
      <c r="B237" s="25">
        <v>201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99" t="str">
        <f>IF(B236&lt;'Умови та класичний графік'!$J$13,J237+K237+L237,"")</f>
        <v/>
      </c>
      <c r="H237" s="100"/>
      <c r="I237" s="32" t="str">
        <f>IF(B236&lt;'Умови та класичний графік'!$J$13,I236-J237,"")</f>
        <v/>
      </c>
      <c r="J237" s="32" t="str">
        <f>IF(B236&lt;'Умови та класичний графік'!$J$13,J236,"")</f>
        <v/>
      </c>
      <c r="K237" s="32" t="str">
        <f>IF(B236&lt;'Умови та класичний графік'!$J$13,((I236*'Умови та класичний графік'!$J$22)/365)*F237,"")</f>
        <v/>
      </c>
      <c r="L237" s="30" t="str">
        <f>IF(B236&lt;'Умови та класичний графік'!$J$13,SUM(M237:V237),"")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графік'!$J$13,XIRR($G$36:G237,$C$36:C237,0),"")</f>
        <v/>
      </c>
      <c r="X237" s="42"/>
      <c r="Y237" s="35"/>
    </row>
    <row r="238" spans="2:25" hidden="1" x14ac:dyDescent="0.2">
      <c r="B238" s="25">
        <v>202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99" t="str">
        <f>IF(B237&lt;'Умови та класичний графік'!$J$13,J238+K238+L238,"")</f>
        <v/>
      </c>
      <c r="H238" s="100"/>
      <c r="I238" s="32" t="str">
        <f>IF(B237&lt;'Умови та класичний графік'!$J$13,I237-J238,"")</f>
        <v/>
      </c>
      <c r="J238" s="32" t="str">
        <f>IF(B237&lt;'Умови та класичний графік'!$J$13,J237,"")</f>
        <v/>
      </c>
      <c r="K238" s="32" t="str">
        <f>IF(B237&lt;'Умови та класичний графік'!$J$13,((I237*'Умови та класичний графік'!$J$22)/365)*F238,"")</f>
        <v/>
      </c>
      <c r="L238" s="30" t="str">
        <f>IF(B237&lt;'Умови та класичний графік'!$J$13,SUM(M238:V238),"")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графік'!$J$13,XIRR($G$36:G238,$C$36:C238,0),"")</f>
        <v/>
      </c>
      <c r="X238" s="42"/>
      <c r="Y238" s="35"/>
    </row>
    <row r="239" spans="2:25" hidden="1" x14ac:dyDescent="0.2">
      <c r="B239" s="25">
        <v>203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99" t="str">
        <f>IF(B238&lt;'Умови та класичний графік'!$J$13,J239+K239+L239,"")</f>
        <v/>
      </c>
      <c r="H239" s="100"/>
      <c r="I239" s="32" t="str">
        <f>IF(B238&lt;'Умови та класичний графік'!$J$13,I238-J239,"")</f>
        <v/>
      </c>
      <c r="J239" s="32" t="str">
        <f>IF(B238&lt;'Умови та класичний графік'!$J$13,J238,"")</f>
        <v/>
      </c>
      <c r="K239" s="32" t="str">
        <f>IF(B238&lt;'Умови та класичний графік'!$J$13,((I238*'Умови та класичний графік'!$J$22)/365)*F239,"")</f>
        <v/>
      </c>
      <c r="L239" s="30" t="str">
        <f>IF(B238&lt;'Умови та класичний графік'!$J$13,SUM(M239:V239),"")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графік'!$J$13,XIRR($G$36:G239,$C$36:C239,0),"")</f>
        <v/>
      </c>
      <c r="X239" s="42"/>
      <c r="Y239" s="35"/>
    </row>
    <row r="240" spans="2:25" hidden="1" x14ac:dyDescent="0.2">
      <c r="B240" s="25">
        <v>204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99" t="str">
        <f>IF(B239&lt;'Умови та класичний графік'!$J$13,J240+K240+L240,"")</f>
        <v/>
      </c>
      <c r="H240" s="100"/>
      <c r="I240" s="32" t="str">
        <f>IF(B239&lt;'Умови та класичний графік'!$J$13,I239-J240,"")</f>
        <v/>
      </c>
      <c r="J240" s="32" t="str">
        <f>IF(B239&lt;'Умови та класичний графік'!$J$13,J239,"")</f>
        <v/>
      </c>
      <c r="K240" s="32" t="str">
        <f>IF(B239&lt;'Умови та класичний графік'!$J$13,((I239*'Умови та класичний графік'!$J$22)/365)*F240,"")</f>
        <v/>
      </c>
      <c r="L240" s="30" t="str">
        <f>IF(B239&lt;'Умови та класичний графік'!$J$13,SUM(M240:V240),"")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графік'!$J$13,('Умови та класичний графік'!$J$14*$N$19)+(I240*$N$20),"")</f>
        <v/>
      </c>
      <c r="V240" s="41"/>
      <c r="W240" s="43" t="str">
        <f>IF(B239&lt;'Умови та класичний графік'!$J$13,XIRR($G$36:G240,$C$36:C240,0),"")</f>
        <v/>
      </c>
      <c r="X240" s="42"/>
      <c r="Y240" s="35"/>
    </row>
    <row r="241" spans="2:25" hidden="1" x14ac:dyDescent="0.2">
      <c r="B241" s="25">
        <v>205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99" t="str">
        <f>IF(B240&lt;'Умови та класичний графік'!$J$13,J241+K241+L241,"")</f>
        <v/>
      </c>
      <c r="H241" s="100"/>
      <c r="I241" s="32" t="str">
        <f>IF(B240&lt;'Умови та класичний графік'!$J$13,I240-J241,"")</f>
        <v/>
      </c>
      <c r="J241" s="32" t="str">
        <f>IF(B240&lt;'Умови та класичний графік'!$J$13,J240,"")</f>
        <v/>
      </c>
      <c r="K241" s="32" t="str">
        <f>IF(B240&lt;'Умови та класичний графік'!$J$13,((I240*'Умови та класичний графік'!$J$22)/365)*F241,"")</f>
        <v/>
      </c>
      <c r="L241" s="30" t="str">
        <f>IF(B240&lt;'Умови та класичний графік'!$J$13,SUM(M241:V241),"")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графік'!$J$13,XIRR($G$36:G241,$C$36:C241,0),"")</f>
        <v/>
      </c>
      <c r="X241" s="42"/>
      <c r="Y241" s="35"/>
    </row>
    <row r="242" spans="2:25" hidden="1" x14ac:dyDescent="0.2">
      <c r="B242" s="25">
        <v>206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99" t="str">
        <f>IF(B241&lt;'Умови та класичний графік'!$J$13,J242+K242+L242,"")</f>
        <v/>
      </c>
      <c r="H242" s="100"/>
      <c r="I242" s="32" t="str">
        <f>IF(B241&lt;'Умови та класичний графік'!$J$13,I241-J242,"")</f>
        <v/>
      </c>
      <c r="J242" s="32" t="str">
        <f>IF(B241&lt;'Умови та класичний графік'!$J$13,J241,"")</f>
        <v/>
      </c>
      <c r="K242" s="32" t="str">
        <f>IF(B241&lt;'Умови та класичний графік'!$J$13,((I241*'Умови та класичний графік'!$J$22)/365)*F242,"")</f>
        <v/>
      </c>
      <c r="L242" s="30" t="str">
        <f>IF(B241&lt;'Умови та класичний графік'!$J$13,SUM(M242:V242),"")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графік'!$J$13,XIRR($G$36:G242,$C$36:C242,0),"")</f>
        <v/>
      </c>
      <c r="X242" s="42"/>
      <c r="Y242" s="35"/>
    </row>
    <row r="243" spans="2:25" hidden="1" x14ac:dyDescent="0.2">
      <c r="B243" s="25">
        <v>207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99" t="str">
        <f>IF(B242&lt;'Умови та класичний графік'!$J$13,J243+K243+L243,"")</f>
        <v/>
      </c>
      <c r="H243" s="100"/>
      <c r="I243" s="32" t="str">
        <f>IF(B242&lt;'Умови та класичний графік'!$J$13,I242-J243,"")</f>
        <v/>
      </c>
      <c r="J243" s="32" t="str">
        <f>IF(B242&lt;'Умови та класичний графік'!$J$13,J242,"")</f>
        <v/>
      </c>
      <c r="K243" s="32" t="str">
        <f>IF(B242&lt;'Умови та класичний графік'!$J$13,((I242*'Умови та класичний графік'!$J$22)/365)*F243,"")</f>
        <v/>
      </c>
      <c r="L243" s="30" t="str">
        <f>IF(B242&lt;'Умови та класичний графік'!$J$13,SUM(M243:V243),"")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графік'!$J$13,XIRR($G$36:G243,$C$36:C243,0),"")</f>
        <v/>
      </c>
      <c r="X243" s="42"/>
      <c r="Y243" s="35"/>
    </row>
    <row r="244" spans="2:25" hidden="1" x14ac:dyDescent="0.2">
      <c r="B244" s="25">
        <v>208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99" t="str">
        <f>IF(B243&lt;'Умови та класичний графік'!$J$13,J244+K244+L244,"")</f>
        <v/>
      </c>
      <c r="H244" s="100"/>
      <c r="I244" s="32" t="str">
        <f>IF(B243&lt;'Умови та класичний графік'!$J$13,I243-J244,"")</f>
        <v/>
      </c>
      <c r="J244" s="32" t="str">
        <f>IF(B243&lt;'Умови та класичний графік'!$J$13,J243,"")</f>
        <v/>
      </c>
      <c r="K244" s="32" t="str">
        <f>IF(B243&lt;'Умови та класичний графік'!$J$13,((I243*'Умови та класичний графік'!$J$22)/365)*F244,"")</f>
        <v/>
      </c>
      <c r="L244" s="30" t="str">
        <f>IF(B243&lt;'Умови та класичний графік'!$J$13,SUM(M244:V244),"")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графік'!$J$13,XIRR($G$36:G244,$C$36:C244,0),"")</f>
        <v/>
      </c>
      <c r="X244" s="42"/>
      <c r="Y244" s="35"/>
    </row>
    <row r="245" spans="2:25" hidden="1" x14ac:dyDescent="0.2">
      <c r="B245" s="25">
        <v>209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99" t="str">
        <f>IF(B244&lt;'Умови та класичний графік'!$J$13,J245+K245+L245,"")</f>
        <v/>
      </c>
      <c r="H245" s="100"/>
      <c r="I245" s="32" t="str">
        <f>IF(B244&lt;'Умови та класичний графік'!$J$13,I244-J245,"")</f>
        <v/>
      </c>
      <c r="J245" s="32" t="str">
        <f>IF(B244&lt;'Умови та класичний графік'!$J$13,J244,"")</f>
        <v/>
      </c>
      <c r="K245" s="32" t="str">
        <f>IF(B244&lt;'Умови та класичний графік'!$J$13,((I244*'Умови та класичний графік'!$J$22)/365)*F245,"")</f>
        <v/>
      </c>
      <c r="L245" s="30" t="str">
        <f>IF(B244&lt;'Умови та класичний графік'!$J$13,SUM(M245:V245),"")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графік'!$J$13,XIRR($G$36:G245,$C$36:C245,0),"")</f>
        <v/>
      </c>
      <c r="X245" s="42"/>
      <c r="Y245" s="35"/>
    </row>
    <row r="246" spans="2:25" hidden="1" x14ac:dyDescent="0.2">
      <c r="B246" s="25">
        <v>210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99" t="str">
        <f>IF(B245&lt;'Умови та класичний графік'!$J$13,J246+K246+L246,"")</f>
        <v/>
      </c>
      <c r="H246" s="100"/>
      <c r="I246" s="32" t="str">
        <f>IF(B245&lt;'Умови та класичний графік'!$J$13,I245-J246,"")</f>
        <v/>
      </c>
      <c r="J246" s="32" t="str">
        <f>IF(B245&lt;'Умови та класичний графік'!$J$13,J245,"")</f>
        <v/>
      </c>
      <c r="K246" s="32" t="str">
        <f>IF(B245&lt;'Умови та класичний графік'!$J$13,((I245*'Умови та класичний графік'!$J$22)/365)*F246,"")</f>
        <v/>
      </c>
      <c r="L246" s="30" t="str">
        <f>IF(B245&lt;'Умови та класичний графік'!$J$13,SUM(M246:V246),"")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графік'!$J$13,XIRR($G$36:G246,$C$36:C246,0),"")</f>
        <v/>
      </c>
      <c r="X246" s="42"/>
      <c r="Y246" s="35"/>
    </row>
    <row r="247" spans="2:25" hidden="1" x14ac:dyDescent="0.2">
      <c r="B247" s="25">
        <v>211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99" t="str">
        <f>IF(B246&lt;'Умови та класичний графік'!$J$13,J247+K247+L247,"")</f>
        <v/>
      </c>
      <c r="H247" s="100"/>
      <c r="I247" s="32" t="str">
        <f>IF(B246&lt;'Умови та класичний графік'!$J$13,I246-J247,"")</f>
        <v/>
      </c>
      <c r="J247" s="32" t="str">
        <f>IF(B246&lt;'Умови та класичний графік'!$J$13,J246,"")</f>
        <v/>
      </c>
      <c r="K247" s="32" t="str">
        <f>IF(B246&lt;'Умови та класичний графік'!$J$13,((I246*'Умови та класичний графік'!$J$22)/365)*F247,"")</f>
        <v/>
      </c>
      <c r="L247" s="30" t="str">
        <f>IF(B246&lt;'Умови та класичний графік'!$J$13,SUM(M247:V247),"")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графік'!$J$13,XIRR($G$36:G247,$C$36:C247,0),"")</f>
        <v/>
      </c>
      <c r="X247" s="42"/>
      <c r="Y247" s="35"/>
    </row>
    <row r="248" spans="2:25" hidden="1" x14ac:dyDescent="0.2">
      <c r="B248" s="25">
        <v>212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99" t="str">
        <f>IF(B247&lt;'Умови та класичний графік'!$J$13,J248+K248+L248,"")</f>
        <v/>
      </c>
      <c r="H248" s="100"/>
      <c r="I248" s="32" t="str">
        <f>IF(B247&lt;'Умови та класичний графік'!$J$13,I247-J248,"")</f>
        <v/>
      </c>
      <c r="J248" s="32" t="str">
        <f>IF(B247&lt;'Умови та класичний графік'!$J$13,J247,"")</f>
        <v/>
      </c>
      <c r="K248" s="32" t="str">
        <f>IF(B247&lt;'Умови та класичний графік'!$J$13,((I247*'Умови та класичний графік'!$J$22)/365)*F248,"")</f>
        <v/>
      </c>
      <c r="L248" s="30" t="str">
        <f>IF(B247&lt;'Умови та класичний графік'!$J$13,SUM(M248:V248),"")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графік'!$J$13,XIRR($G$36:G248,$C$36:C248,0),"")</f>
        <v/>
      </c>
      <c r="X248" s="42"/>
      <c r="Y248" s="35"/>
    </row>
    <row r="249" spans="2:25" hidden="1" x14ac:dyDescent="0.2">
      <c r="B249" s="25">
        <v>213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99" t="str">
        <f>IF(B248&lt;'Умови та класичний графік'!$J$13,J249+K249+L249,"")</f>
        <v/>
      </c>
      <c r="H249" s="100"/>
      <c r="I249" s="32" t="str">
        <f>IF(B248&lt;'Умови та класичний графік'!$J$13,I248-J249,"")</f>
        <v/>
      </c>
      <c r="J249" s="32" t="str">
        <f>IF(B248&lt;'Умови та класичний графік'!$J$13,J248,"")</f>
        <v/>
      </c>
      <c r="K249" s="32" t="str">
        <f>IF(B248&lt;'Умови та класичний графік'!$J$13,((I248*'Умови та класичний графік'!$J$22)/365)*F249,"")</f>
        <v/>
      </c>
      <c r="L249" s="30" t="str">
        <f>IF(B248&lt;'Умови та класичний графік'!$J$13,SUM(M249:V249),"")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графік'!$J$13,XIRR($G$36:G249,$C$36:C249,0),"")</f>
        <v/>
      </c>
      <c r="X249" s="42"/>
      <c r="Y249" s="35"/>
    </row>
    <row r="250" spans="2:25" hidden="1" x14ac:dyDescent="0.2">
      <c r="B250" s="25">
        <v>214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99" t="str">
        <f>IF(B249&lt;'Умови та класичний графік'!$J$13,J250+K250+L250,"")</f>
        <v/>
      </c>
      <c r="H250" s="100"/>
      <c r="I250" s="32" t="str">
        <f>IF(B249&lt;'Умови та класичний графік'!$J$13,I249-J250,"")</f>
        <v/>
      </c>
      <c r="J250" s="32" t="str">
        <f>IF(B249&lt;'Умови та класичний графік'!$J$13,J249,"")</f>
        <v/>
      </c>
      <c r="K250" s="32" t="str">
        <f>IF(B249&lt;'Умови та класичний графік'!$J$13,((I249*'Умови та класичний графік'!$J$22)/365)*F250,"")</f>
        <v/>
      </c>
      <c r="L250" s="30" t="str">
        <f>IF(B249&lt;'Умови та класичний графік'!$J$13,SUM(M250:V250),"")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графік'!$J$13,XIRR($G$36:G250,$C$36:C250,0),"")</f>
        <v/>
      </c>
      <c r="X250" s="42"/>
      <c r="Y250" s="35"/>
    </row>
    <row r="251" spans="2:25" hidden="1" x14ac:dyDescent="0.2">
      <c r="B251" s="25">
        <v>215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99" t="str">
        <f>IF(B250&lt;'Умови та класичний графік'!$J$13,J251+K251+L251,"")</f>
        <v/>
      </c>
      <c r="H251" s="100"/>
      <c r="I251" s="32" t="str">
        <f>IF(B250&lt;'Умови та класичний графік'!$J$13,I250-J251,"")</f>
        <v/>
      </c>
      <c r="J251" s="32" t="str">
        <f>IF(B250&lt;'Умови та класичний графік'!$J$13,J250,"")</f>
        <v/>
      </c>
      <c r="K251" s="32" t="str">
        <f>IF(B250&lt;'Умови та класичний графік'!$J$13,((I250*'Умови та класичний графік'!$J$22)/365)*F251,"")</f>
        <v/>
      </c>
      <c r="L251" s="30" t="str">
        <f>IF(B250&lt;'Умови та класичний графік'!$J$13,SUM(M251:V251),"")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графік'!$J$13,XIRR($G$36:G251,$C$36:C251,0),"")</f>
        <v/>
      </c>
      <c r="X251" s="42"/>
      <c r="Y251" s="35"/>
    </row>
    <row r="252" spans="2:25" hidden="1" x14ac:dyDescent="0.2">
      <c r="B252" s="25">
        <v>216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99" t="str">
        <f>IF(B251&lt;'Умови та класичний графік'!$J$13,J252+K252+L252,"")</f>
        <v/>
      </c>
      <c r="H252" s="100"/>
      <c r="I252" s="32" t="str">
        <f>IF(B251&lt;'Умови та класичний графік'!$J$13,I251-J252,"")</f>
        <v/>
      </c>
      <c r="J252" s="32" t="str">
        <f>IF(B251&lt;'Умови та класичний графік'!$J$13,J251,"")</f>
        <v/>
      </c>
      <c r="K252" s="32" t="str">
        <f>IF(B251&lt;'Умови та класичний графік'!$J$13,((I251*'Умови та класичний графік'!$J$22)/365)*F252,"")</f>
        <v/>
      </c>
      <c r="L252" s="30" t="str">
        <f>IF(B251&lt;'Умови та класичний графік'!$J$13,SUM(M252:V252),"")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графік'!$J$13,('Умови та класичний графік'!$J$14*$N$19)+(I252*$N$20),"")</f>
        <v/>
      </c>
      <c r="V252" s="41"/>
      <c r="W252" s="43" t="str">
        <f>IF(B251&lt;'Умови та класичний графік'!$J$13,XIRR($G$36:G252,$C$36:C252,0),"")</f>
        <v/>
      </c>
      <c r="X252" s="42"/>
      <c r="Y252" s="35"/>
    </row>
    <row r="253" spans="2:25" hidden="1" x14ac:dyDescent="0.2">
      <c r="B253" s="25">
        <v>217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99" t="str">
        <f>IF(B252&lt;'Умови та класичний графік'!$J$13,J253+K253+L253,"")</f>
        <v/>
      </c>
      <c r="H253" s="100"/>
      <c r="I253" s="32" t="str">
        <f>IF(B252&lt;'Умови та класичний графік'!$J$13,I252-J253,"")</f>
        <v/>
      </c>
      <c r="J253" s="32" t="str">
        <f>IF(B252&lt;'Умови та класичний графік'!$J$13,J252,"")</f>
        <v/>
      </c>
      <c r="K253" s="32" t="str">
        <f>IF(B252&lt;'Умови та класичний графік'!$J$13,((I252*'Умови та класичний графік'!$J$22)/365)*F253,"")</f>
        <v/>
      </c>
      <c r="L253" s="30" t="str">
        <f>IF(B252&lt;'Умови та класичний графік'!$J$13,SUM(M253:V253),"")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графік'!$J$13,XIRR($G$36:G253,$C$36:C253,0),"")</f>
        <v/>
      </c>
      <c r="X253" s="42"/>
      <c r="Y253" s="35"/>
    </row>
    <row r="254" spans="2:25" hidden="1" x14ac:dyDescent="0.2">
      <c r="B254" s="25">
        <v>218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99" t="str">
        <f>IF(B253&lt;'Умови та класичний графік'!$J$13,J254+K254+L254,"")</f>
        <v/>
      </c>
      <c r="H254" s="100"/>
      <c r="I254" s="32" t="str">
        <f>IF(B253&lt;'Умови та класичний графік'!$J$13,I253-J254,"")</f>
        <v/>
      </c>
      <c r="J254" s="32" t="str">
        <f>IF(B253&lt;'Умови та класичний графік'!$J$13,J253,"")</f>
        <v/>
      </c>
      <c r="K254" s="32" t="str">
        <f>IF(B253&lt;'Умови та класичний графік'!$J$13,((I253*'Умови та класичний графік'!$J$22)/365)*F254,"")</f>
        <v/>
      </c>
      <c r="L254" s="30" t="str">
        <f>IF(B253&lt;'Умови та класичний графік'!$J$13,SUM(M254:V254),"")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графік'!$J$13,XIRR($G$36:G254,$C$36:C254,0),"")</f>
        <v/>
      </c>
      <c r="X254" s="42"/>
      <c r="Y254" s="35"/>
    </row>
    <row r="255" spans="2:25" hidden="1" x14ac:dyDescent="0.2">
      <c r="B255" s="25">
        <v>219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99" t="str">
        <f>IF(B254&lt;'Умови та класичний графік'!$J$13,J255+K255+L255,"")</f>
        <v/>
      </c>
      <c r="H255" s="100"/>
      <c r="I255" s="32" t="str">
        <f>IF(B254&lt;'Умови та класичний графік'!$J$13,I254-J255,"")</f>
        <v/>
      </c>
      <c r="J255" s="32" t="str">
        <f>IF(B254&lt;'Умови та класичний графік'!$J$13,J254,"")</f>
        <v/>
      </c>
      <c r="K255" s="32" t="str">
        <f>IF(B254&lt;'Умови та класичний графік'!$J$13,((I254*'Умови та класичний графік'!$J$22)/365)*F255,"")</f>
        <v/>
      </c>
      <c r="L255" s="30" t="str">
        <f>IF(B254&lt;'Умови та класичний графік'!$J$13,SUM(M255:V255),"")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графік'!$J$13,XIRR($G$36:G255,$C$36:C255,0),"")</f>
        <v/>
      </c>
      <c r="X255" s="42"/>
      <c r="Y255" s="35"/>
    </row>
    <row r="256" spans="2:25" hidden="1" x14ac:dyDescent="0.2">
      <c r="B256" s="25">
        <v>220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99" t="str">
        <f>IF(B255&lt;'Умови та класичний графік'!$J$13,J256+K256+L256,"")</f>
        <v/>
      </c>
      <c r="H256" s="100"/>
      <c r="I256" s="32" t="str">
        <f>IF(B255&lt;'Умови та класичний графік'!$J$13,I255-J256,"")</f>
        <v/>
      </c>
      <c r="J256" s="32" t="str">
        <f>IF(B255&lt;'Умови та класичний графік'!$J$13,J255,"")</f>
        <v/>
      </c>
      <c r="K256" s="32" t="str">
        <f>IF(B255&lt;'Умови та класичний графік'!$J$13,((I255*'Умови та класичний графік'!$J$22)/365)*F256,"")</f>
        <v/>
      </c>
      <c r="L256" s="30" t="str">
        <f>IF(B255&lt;'Умови та класичний графік'!$J$13,SUM(M256:V256),"")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графік'!$J$13,XIRR($G$36:G256,$C$36:C256,0),"")</f>
        <v/>
      </c>
      <c r="X256" s="42"/>
      <c r="Y256" s="35"/>
    </row>
    <row r="257" spans="2:25" hidden="1" x14ac:dyDescent="0.2">
      <c r="B257" s="25">
        <v>221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99" t="str">
        <f>IF(B256&lt;'Умови та класичний графік'!$J$13,J257+K257+L257,"")</f>
        <v/>
      </c>
      <c r="H257" s="100"/>
      <c r="I257" s="32" t="str">
        <f>IF(B256&lt;'Умови та класичний графік'!$J$13,I256-J257,"")</f>
        <v/>
      </c>
      <c r="J257" s="32" t="str">
        <f>IF(B256&lt;'Умови та класичний графік'!$J$13,J256,"")</f>
        <v/>
      </c>
      <c r="K257" s="32" t="str">
        <f>IF(B256&lt;'Умови та класичний графік'!$J$13,((I256*'Умови та класичний графік'!$J$22)/365)*F257,"")</f>
        <v/>
      </c>
      <c r="L257" s="30" t="str">
        <f>IF(B256&lt;'Умови та класичний графік'!$J$13,SUM(M257:V257),"")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графік'!$J$13,XIRR($G$36:G257,$C$36:C257,0),"")</f>
        <v/>
      </c>
      <c r="X257" s="42"/>
      <c r="Y257" s="35"/>
    </row>
    <row r="258" spans="2:25" hidden="1" x14ac:dyDescent="0.2">
      <c r="B258" s="25">
        <v>222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99" t="str">
        <f>IF(B257&lt;'Умови та класичний графік'!$J$13,J258+K258+L258,"")</f>
        <v/>
      </c>
      <c r="H258" s="100"/>
      <c r="I258" s="32" t="str">
        <f>IF(B257&lt;'Умови та класичний графік'!$J$13,I257-J258,"")</f>
        <v/>
      </c>
      <c r="J258" s="32" t="str">
        <f>IF(B257&lt;'Умови та класичний графік'!$J$13,J257,"")</f>
        <v/>
      </c>
      <c r="K258" s="32" t="str">
        <f>IF(B257&lt;'Умови та класичний графік'!$J$13,((I257*'Умови та класичний графік'!$J$22)/365)*F258,"")</f>
        <v/>
      </c>
      <c r="L258" s="30" t="str">
        <f>IF(B257&lt;'Умови та класичний графік'!$J$13,SUM(M258:V258),"")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графік'!$J$13,XIRR($G$36:G258,$C$36:C258,0),"")</f>
        <v/>
      </c>
      <c r="X258" s="42"/>
      <c r="Y258" s="35"/>
    </row>
    <row r="259" spans="2:25" hidden="1" x14ac:dyDescent="0.2">
      <c r="B259" s="25">
        <v>223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99" t="str">
        <f>IF(B258&lt;'Умови та класичний графік'!$J$13,J259+K259+L259,"")</f>
        <v/>
      </c>
      <c r="H259" s="100"/>
      <c r="I259" s="32" t="str">
        <f>IF(B258&lt;'Умови та класичний графік'!$J$13,I258-J259,"")</f>
        <v/>
      </c>
      <c r="J259" s="32" t="str">
        <f>IF(B258&lt;'Умови та класичний графік'!$J$13,J258,"")</f>
        <v/>
      </c>
      <c r="K259" s="32" t="str">
        <f>IF(B258&lt;'Умови та класичний графік'!$J$13,((I258*'Умови та класичний графік'!$J$22)/365)*F259,"")</f>
        <v/>
      </c>
      <c r="L259" s="30" t="str">
        <f>IF(B258&lt;'Умови та класичний графік'!$J$13,SUM(M259:V259),"")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графік'!$J$13,XIRR($G$36:G259,$C$36:C259,0),"")</f>
        <v/>
      </c>
      <c r="X259" s="42"/>
      <c r="Y259" s="35"/>
    </row>
    <row r="260" spans="2:25" hidden="1" x14ac:dyDescent="0.2">
      <c r="B260" s="25">
        <v>224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99" t="str">
        <f>IF(B259&lt;'Умови та класичний графік'!$J$13,J260+K260+L260,"")</f>
        <v/>
      </c>
      <c r="H260" s="100"/>
      <c r="I260" s="32" t="str">
        <f>IF(B259&lt;'Умови та класичний графік'!$J$13,I259-J260,"")</f>
        <v/>
      </c>
      <c r="J260" s="32" t="str">
        <f>IF(B259&lt;'Умови та класичний графік'!$J$13,J259,"")</f>
        <v/>
      </c>
      <c r="K260" s="32" t="str">
        <f>IF(B259&lt;'Умови та класичний графік'!$J$13,((I259*'Умови та класичний графік'!$J$22)/365)*F260,"")</f>
        <v/>
      </c>
      <c r="L260" s="30" t="str">
        <f>IF(B259&lt;'Умови та класичний графік'!$J$13,SUM(M260:V260),"")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графік'!$J$13,XIRR($G$36:G260,$C$36:C260,0),"")</f>
        <v/>
      </c>
      <c r="X260" s="42"/>
      <c r="Y260" s="35"/>
    </row>
    <row r="261" spans="2:25" hidden="1" x14ac:dyDescent="0.2">
      <c r="B261" s="25">
        <v>225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99" t="str">
        <f>IF(B260&lt;'Умови та класичний графік'!$J$13,J261+K261+L261,"")</f>
        <v/>
      </c>
      <c r="H261" s="100"/>
      <c r="I261" s="32" t="str">
        <f>IF(B260&lt;'Умови та класичний графік'!$J$13,I260-J261,"")</f>
        <v/>
      </c>
      <c r="J261" s="32" t="str">
        <f>IF(B260&lt;'Умови та класичний графік'!$J$13,J260,"")</f>
        <v/>
      </c>
      <c r="K261" s="32" t="str">
        <f>IF(B260&lt;'Умови та класичний графік'!$J$13,((I260*'Умови та класичний графік'!$J$22)/365)*F261,"")</f>
        <v/>
      </c>
      <c r="L261" s="30" t="str">
        <f>IF(B260&lt;'Умови та класичний графік'!$J$13,SUM(M261:V261),"")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графік'!$J$13,XIRR($G$36:G261,$C$36:C261,0),"")</f>
        <v/>
      </c>
      <c r="X261" s="42"/>
      <c r="Y261" s="35"/>
    </row>
    <row r="262" spans="2:25" hidden="1" x14ac:dyDescent="0.2">
      <c r="B262" s="25">
        <v>226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99" t="str">
        <f>IF(B261&lt;'Умови та класичний графік'!$J$13,J262+K262+L262,"")</f>
        <v/>
      </c>
      <c r="H262" s="100"/>
      <c r="I262" s="32" t="str">
        <f>IF(B261&lt;'Умови та класичний графік'!$J$13,I261-J262,"")</f>
        <v/>
      </c>
      <c r="J262" s="32" t="str">
        <f>IF(B261&lt;'Умови та класичний графік'!$J$13,J261,"")</f>
        <v/>
      </c>
      <c r="K262" s="32" t="str">
        <f>IF(B261&lt;'Умови та класичний графік'!$J$13,((I261*'Умови та класичний графік'!$J$22)/365)*F262,"")</f>
        <v/>
      </c>
      <c r="L262" s="30" t="str">
        <f>IF(B261&lt;'Умови та класичний графік'!$J$13,SUM(M262:V262),"")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графік'!$J$13,XIRR($G$36:G262,$C$36:C262,0),"")</f>
        <v/>
      </c>
      <c r="X262" s="42"/>
      <c r="Y262" s="35"/>
    </row>
    <row r="263" spans="2:25" hidden="1" x14ac:dyDescent="0.2">
      <c r="B263" s="25">
        <v>227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99" t="str">
        <f>IF(B262&lt;'Умови та класичний графік'!$J$13,J263+K263+L263,"")</f>
        <v/>
      </c>
      <c r="H263" s="100"/>
      <c r="I263" s="32" t="str">
        <f>IF(B262&lt;'Умови та класичний графік'!$J$13,I262-J263,"")</f>
        <v/>
      </c>
      <c r="J263" s="32" t="str">
        <f>IF(B262&lt;'Умови та класичний графік'!$J$13,J262,"")</f>
        <v/>
      </c>
      <c r="K263" s="32" t="str">
        <f>IF(B262&lt;'Умови та класичний графік'!$J$13,((I262*'Умови та класичний графік'!$J$22)/365)*F263,"")</f>
        <v/>
      </c>
      <c r="L263" s="30" t="str">
        <f>IF(B262&lt;'Умови та класичний графік'!$J$13,SUM(M263:V263),"")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графік'!$J$13,XIRR($G$36:G263,$C$36:C263,0),"")</f>
        <v/>
      </c>
      <c r="X263" s="42"/>
      <c r="Y263" s="35"/>
    </row>
    <row r="264" spans="2:25" hidden="1" x14ac:dyDescent="0.2">
      <c r="B264" s="25">
        <v>228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99" t="str">
        <f>IF(B263&lt;'Умови та класичний графік'!$J$13,J264+K264+L264,"")</f>
        <v/>
      </c>
      <c r="H264" s="100"/>
      <c r="I264" s="32" t="str">
        <f>IF(B263&lt;'Умови та класичний графік'!$J$13,I263-J264,"")</f>
        <v/>
      </c>
      <c r="J264" s="32" t="str">
        <f>IF(B263&lt;'Умови та класичний графік'!$J$13,J263,"")</f>
        <v/>
      </c>
      <c r="K264" s="32" t="str">
        <f>IF(B263&lt;'Умови та класичний графік'!$J$13,((I263*'Умови та класичний графік'!$J$22)/365)*F264,"")</f>
        <v/>
      </c>
      <c r="L264" s="30" t="str">
        <f>IF(B263&lt;'Умови та класичний графік'!$J$13,SUM(M264:V264),"")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графік'!$J$13,('Умови та класичний графік'!$J$14*$N$19)+(I264*$N$20),"")</f>
        <v/>
      </c>
      <c r="V264" s="41"/>
      <c r="W264" s="43" t="str">
        <f>IF(B263&lt;'Умови та класичний графік'!$J$13,XIRR($G$36:G264,$C$36:C264,0),"")</f>
        <v/>
      </c>
      <c r="X264" s="42"/>
      <c r="Y264" s="35"/>
    </row>
    <row r="265" spans="2:25" hidden="1" x14ac:dyDescent="0.2">
      <c r="B265" s="25">
        <v>229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99" t="str">
        <f>IF(B264&lt;'Умови та класичний графік'!$J$13,J265+K265+L265,"")</f>
        <v/>
      </c>
      <c r="H265" s="100"/>
      <c r="I265" s="32" t="str">
        <f>IF(B264&lt;'Умови та класичний графік'!$J$13,I264-J265,"")</f>
        <v/>
      </c>
      <c r="J265" s="32" t="str">
        <f>IF(B264&lt;'Умови та класичний графік'!$J$13,J264,"")</f>
        <v/>
      </c>
      <c r="K265" s="32" t="str">
        <f>IF(B264&lt;'Умови та класичний графік'!$J$13,((I264*'Умови та класичний графік'!$J$22)/365)*F265,"")</f>
        <v/>
      </c>
      <c r="L265" s="30" t="str">
        <f>IF(B264&lt;'Умови та класичний графік'!$J$13,SUM(M265:V265),"")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графік'!$J$13,XIRR($G$36:G265,$C$36:C265,0),"")</f>
        <v/>
      </c>
      <c r="X265" s="42"/>
      <c r="Y265" s="35"/>
    </row>
    <row r="266" spans="2:25" hidden="1" x14ac:dyDescent="0.2">
      <c r="B266" s="25">
        <v>230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99" t="str">
        <f>IF(B265&lt;'Умови та класичний графік'!$J$13,J266+K266+L266,"")</f>
        <v/>
      </c>
      <c r="H266" s="100"/>
      <c r="I266" s="32" t="str">
        <f>IF(B265&lt;'Умови та класичний графік'!$J$13,I265-J266,"")</f>
        <v/>
      </c>
      <c r="J266" s="32" t="str">
        <f>IF(B265&lt;'Умови та класичний графік'!$J$13,J265,"")</f>
        <v/>
      </c>
      <c r="K266" s="32" t="str">
        <f>IF(B265&lt;'Умови та класичний графік'!$J$13,((I265*'Умови та класичний графік'!$J$22)/365)*F266,"")</f>
        <v/>
      </c>
      <c r="L266" s="30" t="str">
        <f>IF(B265&lt;'Умови та класичний графік'!$J$13,SUM(M266:V266),"")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графік'!$J$13,XIRR($G$36:G266,$C$36:C266,0),"")</f>
        <v/>
      </c>
      <c r="X266" s="42"/>
      <c r="Y266" s="35"/>
    </row>
    <row r="267" spans="2:25" hidden="1" x14ac:dyDescent="0.2">
      <c r="B267" s="25">
        <v>231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99" t="str">
        <f>IF(B266&lt;'Умови та класичний графік'!$J$13,J267+K267+L267,"")</f>
        <v/>
      </c>
      <c r="H267" s="100"/>
      <c r="I267" s="32" t="str">
        <f>IF(B266&lt;'Умови та класичний графік'!$J$13,I266-J267,"")</f>
        <v/>
      </c>
      <c r="J267" s="32" t="str">
        <f>IF(B266&lt;'Умови та класичний графік'!$J$13,J266,"")</f>
        <v/>
      </c>
      <c r="K267" s="32" t="str">
        <f>IF(B266&lt;'Умови та класичний графік'!$J$13,((I266*'Умови та класичний графік'!$J$22)/365)*F267,"")</f>
        <v/>
      </c>
      <c r="L267" s="30" t="str">
        <f>IF(B266&lt;'Умови та класичний графік'!$J$13,SUM(M267:V267),"")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графік'!$J$13,XIRR($G$36:G267,$C$36:C267,0),"")</f>
        <v/>
      </c>
      <c r="X267" s="42"/>
      <c r="Y267" s="35"/>
    </row>
    <row r="268" spans="2:25" hidden="1" x14ac:dyDescent="0.2">
      <c r="B268" s="25">
        <v>232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99" t="str">
        <f>IF(B267&lt;'Умови та класичний графік'!$J$13,J268+K268+L268,"")</f>
        <v/>
      </c>
      <c r="H268" s="100"/>
      <c r="I268" s="32" t="str">
        <f>IF(B267&lt;'Умови та класичний графік'!$J$13,I267-J268,"")</f>
        <v/>
      </c>
      <c r="J268" s="32" t="str">
        <f>IF(B267&lt;'Умови та класичний графік'!$J$13,J267,"")</f>
        <v/>
      </c>
      <c r="K268" s="32" t="str">
        <f>IF(B267&lt;'Умови та класичний графік'!$J$13,((I267*'Умови та класичний графік'!$J$22)/365)*F268,"")</f>
        <v/>
      </c>
      <c r="L268" s="30" t="str">
        <f>IF(B267&lt;'Умови та класичний графік'!$J$13,SUM(M268:V268),"")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графік'!$J$13,XIRR($G$36:G268,$C$36:C268,0),"")</f>
        <v/>
      </c>
      <c r="X268" s="42"/>
      <c r="Y268" s="35"/>
    </row>
    <row r="269" spans="2:25" hidden="1" x14ac:dyDescent="0.2">
      <c r="B269" s="47">
        <v>233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99" t="str">
        <f>IF(B268&lt;'Умови та класичний графік'!$J$13,J269+K269+L269,"")</f>
        <v/>
      </c>
      <c r="H269" s="100"/>
      <c r="I269" s="32" t="str">
        <f>IF(B268&lt;'Умови та класичний графік'!$J$13,I268-J269,"")</f>
        <v/>
      </c>
      <c r="J269" s="32" t="str">
        <f>IF(B268&lt;'Умови та класичний графік'!$J$13,J268,"")</f>
        <v/>
      </c>
      <c r="K269" s="32" t="str">
        <f>IF(B268&lt;'Умови та класичний графік'!$J$13,((I268*'Умови та класичний графік'!$J$22)/365)*F269,"")</f>
        <v/>
      </c>
      <c r="L269" s="30" t="str">
        <f>IF(B268&lt;'Умови та класичний графік'!$J$13,SUM(M269:V269),"")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графік'!$J$13,XIRR($G$36:G269,$C$36:C269,0),"")</f>
        <v/>
      </c>
      <c r="X269" s="42"/>
      <c r="Y269" s="35"/>
    </row>
    <row r="270" spans="2:25" hidden="1" x14ac:dyDescent="0.2">
      <c r="B270" s="47">
        <v>234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99" t="str">
        <f>IF(B269&lt;'Умови та класичний графік'!$J$13,J270+K270+L270,"")</f>
        <v/>
      </c>
      <c r="H270" s="100"/>
      <c r="I270" s="32" t="str">
        <f>IF(B269&lt;'Умови та класичний графік'!$J$13,I269-J270,"")</f>
        <v/>
      </c>
      <c r="J270" s="32" t="str">
        <f>IF(B269&lt;'Умови та класичний графік'!$J$13,J269,"")</f>
        <v/>
      </c>
      <c r="K270" s="32" t="str">
        <f>IF(B269&lt;'Умови та класичний графік'!$J$13,((I269*'Умови та класичний графік'!$J$22)/365)*F270,"")</f>
        <v/>
      </c>
      <c r="L270" s="30" t="str">
        <f>IF(B269&lt;'Умови та класичний графік'!$J$13,SUM(M270:V270),"")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графік'!$J$13,XIRR($G$36:G270,$C$36:C270,0),"")</f>
        <v/>
      </c>
      <c r="X270" s="42"/>
      <c r="Y270" s="35"/>
    </row>
    <row r="271" spans="2:25" hidden="1" x14ac:dyDescent="0.2">
      <c r="B271" s="47">
        <v>235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99" t="str">
        <f>IF(B270&lt;'Умови та класичний графік'!$J$13,J271+K271+L271,"")</f>
        <v/>
      </c>
      <c r="H271" s="100"/>
      <c r="I271" s="32" t="str">
        <f>IF(B270&lt;'Умови та класичний графік'!$J$13,I270-J271,"")</f>
        <v/>
      </c>
      <c r="J271" s="32" t="str">
        <f>IF(B270&lt;'Умови та класичний графік'!$J$13,J270,"")</f>
        <v/>
      </c>
      <c r="K271" s="32" t="str">
        <f>IF(B270&lt;'Умови та класичний графік'!$J$13,((I270*'Умови та класичний графік'!$J$22)/365)*F271,"")</f>
        <v/>
      </c>
      <c r="L271" s="30" t="str">
        <f>IF(B270&lt;'Умови та класичний графік'!$J$13,SUM(M271:V271),"")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графік'!$J$13,XIRR($G$36:G271,$C$36:C271,0),"")</f>
        <v/>
      </c>
      <c r="X271" s="42"/>
      <c r="Y271" s="35"/>
    </row>
    <row r="272" spans="2:25" hidden="1" x14ac:dyDescent="0.2">
      <c r="B272" s="47">
        <v>236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99" t="str">
        <f>IF(B271&lt;'Умови та класичний графік'!$J$13,J272+K272+L272,"")</f>
        <v/>
      </c>
      <c r="H272" s="100"/>
      <c r="I272" s="32" t="str">
        <f>IF(B271&lt;'Умови та класичний графік'!$J$13,I271-J272,"")</f>
        <v/>
      </c>
      <c r="J272" s="32" t="str">
        <f>IF(B271&lt;'Умови та класичний графік'!$J$13,J271,"")</f>
        <v/>
      </c>
      <c r="K272" s="32" t="str">
        <f>IF(B271&lt;'Умови та класичний графік'!$J$13,((I271*'Умови та класичний графік'!$J$22)/365)*F272,"")</f>
        <v/>
      </c>
      <c r="L272" s="30" t="str">
        <f>IF(B271&lt;'Умови та класичний графік'!$J$13,SUM(M272:V272),"")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графік'!$J$13,XIRR($G$36:G272,$C$36:C272,0),"")</f>
        <v/>
      </c>
      <c r="X272" s="42"/>
      <c r="Y272" s="35"/>
    </row>
    <row r="273" spans="2:25" hidden="1" x14ac:dyDescent="0.2">
      <c r="B273" s="47">
        <v>237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99" t="str">
        <f>IF(B272&lt;'Умови та класичний графік'!$J$13,J273+K273+L273,"")</f>
        <v/>
      </c>
      <c r="H273" s="100"/>
      <c r="I273" s="32" t="str">
        <f>IF(B272&lt;'Умови та класичний графік'!$J$13,I272-J273,"")</f>
        <v/>
      </c>
      <c r="J273" s="32" t="str">
        <f>IF(B272&lt;'Умови та класичний графік'!$J$13,J272,"")</f>
        <v/>
      </c>
      <c r="K273" s="32" t="str">
        <f>IF(B272&lt;'Умови та класичний графік'!$J$13,((I272*'Умови та класичний графік'!$J$22)/365)*F273,"")</f>
        <v/>
      </c>
      <c r="L273" s="30" t="str">
        <f>IF(B272&lt;'Умови та класичний графік'!$J$13,SUM(M273:V273),"")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графік'!$J$13,XIRR($G$36:G273,$C$36:C273,0),"")</f>
        <v/>
      </c>
      <c r="X273" s="42"/>
      <c r="Y273" s="35"/>
    </row>
    <row r="274" spans="2:25" hidden="1" x14ac:dyDescent="0.2">
      <c r="B274" s="47">
        <v>238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99" t="str">
        <f>IF(B273&lt;'Умови та класичний графік'!$J$13,J274+K274+L274,"")</f>
        <v/>
      </c>
      <c r="H274" s="100"/>
      <c r="I274" s="32" t="str">
        <f>IF(B273&lt;'Умови та класичний графік'!$J$13,I273-J274,"")</f>
        <v/>
      </c>
      <c r="J274" s="32" t="str">
        <f>IF(B273&lt;'Умови та класичний графік'!$J$13,J273,"")</f>
        <v/>
      </c>
      <c r="K274" s="32" t="str">
        <f>IF(B273&lt;'Умови та класичний графік'!$J$13,((I273*'Умови та класичний графік'!$J$22)/365)*F274,"")</f>
        <v/>
      </c>
      <c r="L274" s="30" t="str">
        <f>IF(B273&lt;'Умови та класичний графік'!$J$13,SUM(M274:V274),"")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графік'!$J$13,XIRR($G$36:G274,$C$36:C274,0),"")</f>
        <v/>
      </c>
      <c r="X274" s="49"/>
      <c r="Y274" s="35"/>
    </row>
    <row r="275" spans="2:25" hidden="1" x14ac:dyDescent="0.2">
      <c r="B275" s="47">
        <v>239</v>
      </c>
      <c r="C275" s="36" t="str">
        <f>IF(B274&lt;'Умови та класичний графік'!$J$13,EDATE(C274,1),"")</f>
        <v/>
      </c>
      <c r="D275" s="36" t="str">
        <f>IF(B274&lt;'Умови та класичний графік'!$J$13,C274,"")</f>
        <v/>
      </c>
      <c r="E275" s="26" t="str">
        <f>IF(B274&lt;'Умови та класичний графік'!$J$13,C275-1,"")</f>
        <v/>
      </c>
      <c r="F275" s="37" t="str">
        <f>IF(B274&lt;'Умови та класичний графік'!$J$13,E275-D275+1,"")</f>
        <v/>
      </c>
      <c r="G275" s="99" t="str">
        <f>IF(B274&lt;'Умови та класичний графік'!$J$13,J275+K275+L275,"")</f>
        <v/>
      </c>
      <c r="H275" s="100"/>
      <c r="I275" s="32" t="str">
        <f>IF(B274&lt;'Умови та класичний графік'!$J$13,I274-J275,"")</f>
        <v/>
      </c>
      <c r="J275" s="32" t="str">
        <f>IF(B274&lt;'Умови та класичний графік'!$J$13,J274,"")</f>
        <v/>
      </c>
      <c r="K275" s="32" t="str">
        <f>IF(B274&lt;'Умови та класичний графік'!$J$13,((I274*'Умови та класичний графік'!$J$22)/365)*F275,"")</f>
        <v/>
      </c>
      <c r="L275" s="30" t="str">
        <f>IF(B274&lt;'Умови та класичний графік'!$J$13,SUM(M275:V275),"")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графік'!$J$13,XIRR($G$36:G275,$C$36:C275,0),"")</f>
        <v/>
      </c>
      <c r="X275" s="49"/>
      <c r="Y275" s="35"/>
    </row>
    <row r="276" spans="2:25" hidden="1" x14ac:dyDescent="0.2">
      <c r="B276" s="47">
        <v>240</v>
      </c>
      <c r="C276" s="36" t="str">
        <f>IF(B275&lt;'Умови та класичний графік'!$J$13,EDATE(C275,1),"")</f>
        <v/>
      </c>
      <c r="D276" s="36" t="str">
        <f>IF(B275&lt;'Умови та класичний графік'!$J$13,C275,"")</f>
        <v/>
      </c>
      <c r="E276" s="26" t="str">
        <f>IF(B275&lt;'Умови та класичний графік'!$J$13,C276-1,"")</f>
        <v/>
      </c>
      <c r="F276" s="37" t="str">
        <f>IF(B275&lt;'Умови та класичний графік'!$J$13,E276-D276+1,"")</f>
        <v/>
      </c>
      <c r="G276" s="99" t="str">
        <f>IF(B275&lt;'Умови та класичний графік'!$J$13,J276+K276+L276,"")</f>
        <v/>
      </c>
      <c r="H276" s="100"/>
      <c r="I276" s="32" t="str">
        <f>IF(B275&lt;'Умови та класичний графік'!$J$13,I275-J276,"")</f>
        <v/>
      </c>
      <c r="J276" s="32" t="str">
        <f>IF(B275&lt;'Умови та класичний графік'!$J$13,J275,"")</f>
        <v/>
      </c>
      <c r="K276" s="32" t="str">
        <f>IF(B275&lt;'Умови та класичний графік'!$J$13,((I275*'Умови та класичний графік'!$J$22)/365)*F276,"")</f>
        <v/>
      </c>
      <c r="L276" s="30" t="str">
        <f>IF(B275&lt;'Умови та класичний графік'!$J$13,SUM(M276:V276),"")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графік'!$J$13,XIRR($G$36:G276,$C$36:C276,0),"")</f>
        <v/>
      </c>
      <c r="X276" s="49"/>
      <c r="Y276" s="35"/>
    </row>
    <row r="277" spans="2:25" x14ac:dyDescent="0.2">
      <c r="B277" s="25"/>
      <c r="C277" s="125" t="s">
        <v>25</v>
      </c>
      <c r="D277" s="125"/>
      <c r="E277" s="125"/>
      <c r="F277" s="125"/>
      <c r="G277" s="145">
        <f>SUM(G37:H276)</f>
        <v>2985538.0626223097</v>
      </c>
      <c r="H277" s="146"/>
      <c r="I277" s="50" t="s">
        <v>24</v>
      </c>
      <c r="J277" s="50">
        <f>SUM(J37:J276)</f>
        <v>1349999.9999999998</v>
      </c>
      <c r="K277" s="50">
        <f t="shared" ref="K277" si="4">SUM(K36:K276)</f>
        <v>1075588.0626223087</v>
      </c>
      <c r="L277" s="51">
        <f>SUM(L36:L276)</f>
        <v>682350.00000000012</v>
      </c>
      <c r="M277" s="52">
        <f t="shared" ref="M277:V277" si="5">SUM(M36:M276)</f>
        <v>0</v>
      </c>
      <c r="N277" s="50">
        <f t="shared" si="5"/>
        <v>150</v>
      </c>
      <c r="O277" s="50">
        <f t="shared" si="5"/>
        <v>20250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6500</v>
      </c>
      <c r="T277" s="53">
        <f t="shared" si="5"/>
        <v>0</v>
      </c>
      <c r="U277" s="53">
        <f t="shared" si="5"/>
        <v>655300.00000000012</v>
      </c>
      <c r="V277" s="53">
        <f t="shared" si="5"/>
        <v>150</v>
      </c>
      <c r="W277" s="43" t="str">
        <f>IF(B276&lt;'Умови та класичний графік'!$J$13,XIRR($G$36:G277,$C$36:C277,0),"")</f>
        <v/>
      </c>
      <c r="X277" s="50">
        <f>K277+L277</f>
        <v>1757938.0626223087</v>
      </c>
      <c r="Y277" s="54">
        <f>X277+'Умови та класичний графік'!J12</f>
        <v>3107938.0626223087</v>
      </c>
    </row>
    <row r="278" spans="2:25" s="57" customFormat="1" ht="13.7" customHeight="1" x14ac:dyDescent="0.2">
      <c r="B278" s="55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9"/>
      <c r="V278" s="56"/>
    </row>
    <row r="279" spans="2:25" s="57" customFormat="1" x14ac:dyDescent="0.2">
      <c r="B279" s="55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9"/>
      <c r="V279" s="56"/>
    </row>
  </sheetData>
  <protectedRanges>
    <protectedRange sqref="J12:K14 N19 J21" name="Параметри кредиту_1"/>
  </protectedRanges>
  <autoFilter ref="B35:X279" xr:uid="{9F976E4A-E8F9-4CCB-89B6-352916A89167}">
    <filterColumn colId="5" showButton="0"/>
  </autoFilter>
  <mergeCells count="318">
    <mergeCell ref="B3:P7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G82:H82"/>
    <mergeCell ref="G35:H35"/>
    <mergeCell ref="X31:X34"/>
    <mergeCell ref="B31:B34"/>
    <mergeCell ref="C31:C34"/>
    <mergeCell ref="F31:F34"/>
    <mergeCell ref="G31:H34"/>
    <mergeCell ref="D31:E33"/>
    <mergeCell ref="C9:E9"/>
    <mergeCell ref="F9:G9"/>
    <mergeCell ref="K32:K34"/>
    <mergeCell ref="G19:I19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3:I13"/>
    <mergeCell ref="G14:I14"/>
    <mergeCell ref="W31:W34"/>
    <mergeCell ref="C8:E8"/>
    <mergeCell ref="F8:G8"/>
    <mergeCell ref="J19:K19"/>
    <mergeCell ref="J20:K20"/>
    <mergeCell ref="G20:I20"/>
    <mergeCell ref="G23:J23"/>
    <mergeCell ref="G29:N29"/>
    <mergeCell ref="J14:K14"/>
    <mergeCell ref="G22:I22"/>
    <mergeCell ref="J22:K22"/>
    <mergeCell ref="L13:M13"/>
    <mergeCell ref="L19:M19"/>
    <mergeCell ref="L20:M20"/>
    <mergeCell ref="L22:M22"/>
    <mergeCell ref="G25:N25"/>
    <mergeCell ref="N22:V22"/>
    <mergeCell ref="O15:V15"/>
    <mergeCell ref="B10:P10"/>
    <mergeCell ref="N12:V12"/>
    <mergeCell ref="N13:V13"/>
    <mergeCell ref="N14:V14"/>
    <mergeCell ref="N16:V16"/>
    <mergeCell ref="N17:V17"/>
    <mergeCell ref="N18:V18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38:H238"/>
    <mergeCell ref="G239:H239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2:H212"/>
    <mergeCell ref="G213:H213"/>
    <mergeCell ref="O19:V19"/>
    <mergeCell ref="O20:V20"/>
    <mergeCell ref="N21:V21"/>
    <mergeCell ref="L12:M12"/>
    <mergeCell ref="J12:K12"/>
    <mergeCell ref="G16:I16"/>
    <mergeCell ref="J16:K16"/>
    <mergeCell ref="J17:K17"/>
    <mergeCell ref="G17:I17"/>
    <mergeCell ref="G12:I12"/>
    <mergeCell ref="G18:I18"/>
    <mergeCell ref="J18:K18"/>
    <mergeCell ref="L14:M14"/>
    <mergeCell ref="L16:M16"/>
    <mergeCell ref="L17:M17"/>
    <mergeCell ref="G15:I15"/>
    <mergeCell ref="J15:K15"/>
    <mergeCell ref="L18:M18"/>
    <mergeCell ref="L15:M15"/>
    <mergeCell ref="J13:K13"/>
    <mergeCell ref="G21:I21"/>
    <mergeCell ref="J21:K21"/>
  </mergeCells>
  <conditionalFormatting sqref="J13:K13">
    <cfRule type="cellIs" dxfId="13" priority="8" operator="lessThan">
      <formula>12</formula>
    </cfRule>
    <cfRule type="cellIs" dxfId="12" priority="9" operator="greaterThan">
      <formula>84</formula>
    </cfRule>
    <cfRule type="cellIs" dxfId="11" priority="10" operator="between">
      <formula>11.9</formula>
      <formula>84</formula>
    </cfRule>
  </conditionalFormatting>
  <conditionalFormatting sqref="J12:K12">
    <cfRule type="cellIs" dxfId="10" priority="3" operator="greaterThan">
      <formula>$J$14-$J$14*10%</formula>
    </cfRule>
    <cfRule type="cellIs" dxfId="9" priority="5" operator="between">
      <formula>100000</formula>
      <formula>1350000</formula>
    </cfRule>
    <cfRule type="cellIs" dxfId="8" priority="6" operator="lessThan">
      <formula>100000</formula>
    </cfRule>
    <cfRule type="cellIs" dxfId="7" priority="7" operator="greaterThan">
      <formula>1350000</formula>
    </cfRule>
  </conditionalFormatting>
  <pageMargins left="0.39370078740157483" right="0.39370078740157483" top="0.19685039370078741" bottom="0.27559055118110237" header="0.35433070866141736" footer="0.27559055118110237"/>
  <pageSetup paperSize="9" scale="6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1:Y277"/>
  <sheetViews>
    <sheetView tabSelected="1" view="pageBreakPreview" topLeftCell="G1" zoomScale="85" zoomScaleNormal="85" zoomScaleSheetLayoutView="85" workbookViewId="0">
      <selection activeCell="O27" sqref="O2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3" width="19.28515625" style="1" hidden="1" customWidth="1"/>
    <col min="24" max="24" width="19.28515625" style="1" customWidth="1"/>
    <col min="25" max="25" width="18.5703125" style="1" customWidth="1"/>
    <col min="26" max="16384" width="9.140625" style="1"/>
  </cols>
  <sheetData>
    <row r="1" spans="2:25" x14ac:dyDescent="0.2">
      <c r="Y1" s="1" t="s">
        <v>65</v>
      </c>
    </row>
    <row r="3" spans="2:25" ht="15" customHeight="1" x14ac:dyDescent="0.2">
      <c r="B3" s="143" t="s">
        <v>64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5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5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5" ht="42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60"/>
      <c r="R6" s="60"/>
      <c r="S6" s="60"/>
      <c r="T6" s="60"/>
      <c r="U6" s="60"/>
      <c r="V6" s="60"/>
      <c r="W6" s="60"/>
      <c r="X6" s="60"/>
    </row>
    <row r="7" spans="2:25" ht="21" x14ac:dyDescent="0.25">
      <c r="B7" s="120" t="s">
        <v>40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"/>
      <c r="R7" s="2"/>
      <c r="S7" s="4"/>
      <c r="T7" s="4"/>
      <c r="U7" s="4"/>
      <c r="V7" s="4"/>
      <c r="W7" s="2"/>
      <c r="X7" s="2"/>
    </row>
    <row r="8" spans="2:25" ht="12.75" customHeight="1" x14ac:dyDescent="0.2">
      <c r="P8" s="5"/>
      <c r="Q8" s="5"/>
      <c r="R8" s="6"/>
      <c r="S8" s="6"/>
      <c r="T8" s="169"/>
      <c r="U8" s="169"/>
      <c r="V8" s="63"/>
    </row>
    <row r="9" spans="2:25" ht="12.75" hidden="1" customHeight="1" x14ac:dyDescent="0.2">
      <c r="P9" s="5"/>
      <c r="Q9" s="5"/>
      <c r="R9" s="6"/>
      <c r="S9" s="6"/>
      <c r="T9" s="63"/>
      <c r="U9" s="63"/>
      <c r="V9" s="63"/>
      <c r="W9" s="8"/>
    </row>
    <row r="10" spans="2:25" ht="12.75" hidden="1" customHeight="1" thickBot="1" x14ac:dyDescent="0.25">
      <c r="P10" s="5"/>
      <c r="Q10" s="5"/>
      <c r="R10" s="6"/>
      <c r="S10" s="6"/>
      <c r="T10" s="63"/>
      <c r="U10" s="63"/>
      <c r="V10" s="63"/>
    </row>
    <row r="11" spans="2:25" ht="12.75" hidden="1" customHeight="1" x14ac:dyDescent="0.2">
      <c r="G11" s="170" t="s">
        <v>1</v>
      </c>
      <c r="H11" s="171"/>
      <c r="I11" s="172"/>
      <c r="J11" s="173">
        <f>'Умови та класичний графік'!J12:K12</f>
        <v>1350000</v>
      </c>
      <c r="K11" s="174"/>
      <c r="L11" s="175" t="s">
        <v>10</v>
      </c>
      <c r="M11" s="176"/>
      <c r="N11" s="177" t="s">
        <v>53</v>
      </c>
      <c r="O11" s="178"/>
      <c r="P11" s="178"/>
      <c r="Q11" s="178"/>
      <c r="R11" s="178"/>
      <c r="S11" s="178"/>
      <c r="T11" s="178"/>
      <c r="U11" s="179"/>
      <c r="V11" s="63"/>
    </row>
    <row r="12" spans="2:25" ht="12.75" hidden="1" customHeight="1" x14ac:dyDescent="0.2">
      <c r="G12" s="157" t="s">
        <v>2</v>
      </c>
      <c r="H12" s="158"/>
      <c r="I12" s="159"/>
      <c r="J12" s="180">
        <f>'Умови та класичний графік'!J13:K13</f>
        <v>84</v>
      </c>
      <c r="K12" s="181"/>
      <c r="L12" s="162" t="s">
        <v>3</v>
      </c>
      <c r="M12" s="163"/>
      <c r="N12" s="154" t="s">
        <v>34</v>
      </c>
      <c r="O12" s="155"/>
      <c r="P12" s="155"/>
      <c r="Q12" s="155"/>
      <c r="R12" s="155"/>
      <c r="S12" s="155"/>
      <c r="T12" s="155"/>
      <c r="U12" s="156"/>
      <c r="V12" s="63"/>
    </row>
    <row r="13" spans="2:25" ht="12.75" hidden="1" customHeight="1" x14ac:dyDescent="0.2">
      <c r="G13" s="157" t="s">
        <v>54</v>
      </c>
      <c r="H13" s="158"/>
      <c r="I13" s="159"/>
      <c r="J13" s="167">
        <f>'Умови та класичний графік'!J14:K14</f>
        <v>1500000</v>
      </c>
      <c r="K13" s="168"/>
      <c r="L13" s="162" t="s">
        <v>10</v>
      </c>
      <c r="M13" s="163"/>
      <c r="N13" s="154"/>
      <c r="O13" s="155"/>
      <c r="P13" s="155"/>
      <c r="Q13" s="155"/>
      <c r="R13" s="155"/>
      <c r="S13" s="155"/>
      <c r="T13" s="155"/>
      <c r="U13" s="156"/>
      <c r="V13" s="63"/>
    </row>
    <row r="14" spans="2:25" ht="12.75" hidden="1" customHeight="1" x14ac:dyDescent="0.2">
      <c r="G14" s="157" t="s">
        <v>31</v>
      </c>
      <c r="H14" s="158"/>
      <c r="I14" s="159"/>
      <c r="J14" s="160">
        <f>J11*1.5%</f>
        <v>20250</v>
      </c>
      <c r="K14" s="161"/>
      <c r="L14" s="162" t="s">
        <v>10</v>
      </c>
      <c r="M14" s="163"/>
      <c r="N14" s="164" t="s">
        <v>43</v>
      </c>
      <c r="O14" s="165"/>
      <c r="P14" s="165"/>
      <c r="Q14" s="165"/>
      <c r="R14" s="165"/>
      <c r="S14" s="165"/>
      <c r="T14" s="165"/>
      <c r="U14" s="166"/>
      <c r="V14" s="63"/>
    </row>
    <row r="15" spans="2:25" ht="13.5" hidden="1" customHeight="1" x14ac:dyDescent="0.2">
      <c r="G15" s="157" t="s">
        <v>32</v>
      </c>
      <c r="H15" s="158"/>
      <c r="I15" s="159"/>
      <c r="J15" s="160">
        <v>100</v>
      </c>
      <c r="K15" s="161"/>
      <c r="L15" s="162" t="s">
        <v>10</v>
      </c>
      <c r="M15" s="163"/>
      <c r="N15" s="154" t="s">
        <v>37</v>
      </c>
      <c r="O15" s="155"/>
      <c r="P15" s="155"/>
      <c r="Q15" s="155"/>
      <c r="R15" s="155"/>
      <c r="S15" s="155"/>
      <c r="T15" s="155"/>
      <c r="U15" s="156"/>
    </row>
    <row r="16" spans="2:25" ht="13.5" hidden="1" customHeight="1" x14ac:dyDescent="0.2">
      <c r="G16" s="157" t="s">
        <v>56</v>
      </c>
      <c r="H16" s="158"/>
      <c r="I16" s="159"/>
      <c r="J16" s="160">
        <f>J13*0.1%+5000</f>
        <v>6500</v>
      </c>
      <c r="K16" s="161"/>
      <c r="L16" s="162" t="s">
        <v>10</v>
      </c>
      <c r="M16" s="163"/>
      <c r="N16" s="164" t="s">
        <v>41</v>
      </c>
      <c r="O16" s="165"/>
      <c r="P16" s="165"/>
      <c r="Q16" s="165"/>
      <c r="R16" s="165"/>
      <c r="S16" s="165"/>
      <c r="T16" s="165"/>
      <c r="U16" s="166"/>
    </row>
    <row r="17" spans="2:25" ht="12.75" hidden="1" customHeight="1" x14ac:dyDescent="0.2">
      <c r="G17" s="147" t="s">
        <v>33</v>
      </c>
      <c r="H17" s="148"/>
      <c r="I17" s="149"/>
      <c r="J17" s="150">
        <v>150</v>
      </c>
      <c r="K17" s="151"/>
      <c r="L17" s="152" t="s">
        <v>10</v>
      </c>
      <c r="M17" s="153"/>
      <c r="N17" s="154" t="s">
        <v>35</v>
      </c>
      <c r="O17" s="155"/>
      <c r="P17" s="155"/>
      <c r="Q17" s="155"/>
      <c r="R17" s="155"/>
      <c r="S17" s="155"/>
      <c r="T17" s="155"/>
      <c r="U17" s="156"/>
    </row>
    <row r="18" spans="2:25" hidden="1" x14ac:dyDescent="0.2">
      <c r="G18" s="157" t="s">
        <v>57</v>
      </c>
      <c r="H18" s="158"/>
      <c r="I18" s="182"/>
      <c r="J18" s="183">
        <f>J13*N18</f>
        <v>4500</v>
      </c>
      <c r="K18" s="184"/>
      <c r="L18" s="185" t="s">
        <v>10</v>
      </c>
      <c r="M18" s="186"/>
      <c r="N18" s="67">
        <v>3.0000000000000001E-3</v>
      </c>
      <c r="O18" s="187" t="s">
        <v>58</v>
      </c>
      <c r="P18" s="187"/>
      <c r="Q18" s="187"/>
      <c r="R18" s="187"/>
      <c r="S18" s="187"/>
      <c r="T18" s="187"/>
      <c r="U18" s="188"/>
      <c r="V18" s="59"/>
    </row>
    <row r="19" spans="2:25" hidden="1" x14ac:dyDescent="0.2">
      <c r="G19" s="157" t="s">
        <v>38</v>
      </c>
      <c r="H19" s="158"/>
      <c r="I19" s="182"/>
      <c r="J19" s="183">
        <f>J11*0.3%</f>
        <v>4050</v>
      </c>
      <c r="K19" s="184"/>
      <c r="L19" s="185" t="s">
        <v>10</v>
      </c>
      <c r="M19" s="186"/>
      <c r="N19" s="67">
        <v>3.0000000000000001E-3</v>
      </c>
      <c r="O19" s="187" t="s">
        <v>59</v>
      </c>
      <c r="P19" s="187"/>
      <c r="Q19" s="187"/>
      <c r="R19" s="187"/>
      <c r="S19" s="187"/>
      <c r="T19" s="187"/>
      <c r="U19" s="188"/>
      <c r="V19" s="59"/>
    </row>
    <row r="20" spans="2:25" ht="13.5" hidden="1" thickBot="1" x14ac:dyDescent="0.25">
      <c r="G20" s="189" t="s">
        <v>55</v>
      </c>
      <c r="H20" s="190"/>
      <c r="I20" s="191"/>
      <c r="J20" s="192">
        <f>'Умови та класичний графік'!J22:K22</f>
        <v>0.22500000000000001</v>
      </c>
      <c r="K20" s="193"/>
      <c r="L20" s="194" t="s">
        <v>4</v>
      </c>
      <c r="M20" s="195"/>
      <c r="N20" s="196" t="s">
        <v>46</v>
      </c>
      <c r="O20" s="197"/>
      <c r="P20" s="197"/>
      <c r="Q20" s="197"/>
      <c r="R20" s="197"/>
      <c r="S20" s="197"/>
      <c r="T20" s="197"/>
      <c r="U20" s="198"/>
      <c r="V20" s="59"/>
    </row>
    <row r="21" spans="2:25" hidden="1" x14ac:dyDescent="0.2">
      <c r="G21" s="199" t="s">
        <v>42</v>
      </c>
      <c r="H21" s="199"/>
      <c r="I21" s="199"/>
      <c r="J21" s="199"/>
      <c r="K21" s="10"/>
      <c r="L21" s="65"/>
      <c r="M21" s="65"/>
      <c r="N21" s="12"/>
      <c r="O21" s="12"/>
      <c r="P21" s="12"/>
      <c r="Q21" s="12"/>
      <c r="R21" s="12"/>
      <c r="S21" s="12"/>
      <c r="T21" s="59"/>
      <c r="U21" s="59"/>
      <c r="V21" s="59"/>
    </row>
    <row r="22" spans="2:25" x14ac:dyDescent="0.2">
      <c r="G22" s="13"/>
      <c r="H22" s="13"/>
      <c r="I22" s="13"/>
      <c r="J22" s="14"/>
      <c r="K22" s="14"/>
      <c r="L22" s="65"/>
      <c r="M22" s="65"/>
      <c r="N22" s="12"/>
      <c r="O22" s="12"/>
      <c r="P22" s="12"/>
      <c r="Q22" s="12"/>
      <c r="R22" s="12"/>
      <c r="S22" s="12"/>
      <c r="T22" s="69"/>
      <c r="U22" s="69"/>
      <c r="V22" s="68"/>
    </row>
    <row r="23" spans="2:25" s="2" customFormat="1" ht="15" x14ac:dyDescent="0.25">
      <c r="G23" s="110" t="s">
        <v>60</v>
      </c>
      <c r="H23" s="110"/>
      <c r="I23" s="110"/>
      <c r="J23" s="110"/>
      <c r="K23" s="110"/>
      <c r="L23" s="110"/>
      <c r="M23" s="110"/>
      <c r="N23" s="110"/>
      <c r="O23" s="70"/>
      <c r="P23" s="70"/>
      <c r="Q23" s="70"/>
      <c r="R23" s="70"/>
      <c r="S23" s="70"/>
      <c r="T23" s="71"/>
      <c r="U23" s="71"/>
      <c r="V23" s="72"/>
    </row>
    <row r="24" spans="2:25" s="2" customFormat="1" ht="15" x14ac:dyDescent="0.25">
      <c r="G24" s="200" t="s">
        <v>45</v>
      </c>
      <c r="H24" s="201"/>
      <c r="I24" s="201"/>
      <c r="J24" s="201"/>
      <c r="K24" s="201"/>
      <c r="L24" s="201"/>
      <c r="M24" s="201"/>
      <c r="N24" s="202"/>
      <c r="O24" s="73">
        <f>MAX(W38:W275)</f>
        <v>0.39817187011718758</v>
      </c>
      <c r="P24" s="74"/>
      <c r="Q24" s="74"/>
      <c r="R24" s="74"/>
      <c r="S24" s="74"/>
      <c r="T24" s="72"/>
      <c r="U24" s="72"/>
      <c r="V24" s="72"/>
    </row>
    <row r="25" spans="2:25" s="2" customFormat="1" ht="15" x14ac:dyDescent="0.25">
      <c r="G25" s="200" t="s">
        <v>39</v>
      </c>
      <c r="H25" s="201"/>
      <c r="I25" s="201"/>
      <c r="J25" s="201"/>
      <c r="K25" s="201"/>
      <c r="L25" s="201"/>
      <c r="M25" s="201"/>
      <c r="N25" s="202"/>
      <c r="O25" s="75">
        <f>SUM('Умови та класичний графік'!O27)</f>
        <v>122100</v>
      </c>
      <c r="P25" s="74"/>
      <c r="Q25" s="74"/>
      <c r="R25" s="74"/>
      <c r="S25" s="74"/>
      <c r="T25" s="72"/>
      <c r="U25" s="72"/>
      <c r="V25" s="72"/>
    </row>
    <row r="26" spans="2:25" s="2" customFormat="1" ht="15" customHeight="1" x14ac:dyDescent="0.25">
      <c r="G26" s="110" t="s">
        <v>44</v>
      </c>
      <c r="H26" s="110"/>
      <c r="I26" s="110"/>
      <c r="J26" s="110"/>
      <c r="K26" s="110"/>
      <c r="L26" s="110"/>
      <c r="M26" s="110"/>
      <c r="N26" s="110"/>
      <c r="O26" s="75">
        <f>X275</f>
        <v>2023971.2522034072</v>
      </c>
      <c r="P26" s="74"/>
      <c r="Q26" s="74"/>
      <c r="R26" s="74"/>
      <c r="S26" s="74"/>
      <c r="T26" s="72"/>
      <c r="U26" s="72"/>
      <c r="V26" s="72"/>
    </row>
    <row r="27" spans="2:25" s="2" customFormat="1" ht="15" customHeight="1" x14ac:dyDescent="0.25">
      <c r="G27" s="110" t="s">
        <v>74</v>
      </c>
      <c r="H27" s="110"/>
      <c r="I27" s="110"/>
      <c r="J27" s="110"/>
      <c r="K27" s="110"/>
      <c r="L27" s="110"/>
      <c r="M27" s="110"/>
      <c r="N27" s="110"/>
      <c r="O27" s="75">
        <f>Y275</f>
        <v>3373971.2522034072</v>
      </c>
      <c r="P27" s="74"/>
      <c r="Q27" s="74"/>
      <c r="R27" s="74"/>
      <c r="S27" s="74"/>
      <c r="T27" s="76"/>
      <c r="U27" s="76"/>
      <c r="V27" s="76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26" t="s">
        <v>36</v>
      </c>
      <c r="C29" s="126" t="s">
        <v>26</v>
      </c>
      <c r="D29" s="126" t="s">
        <v>6</v>
      </c>
      <c r="E29" s="126"/>
      <c r="F29" s="127" t="s">
        <v>12</v>
      </c>
      <c r="G29" s="130" t="s">
        <v>47</v>
      </c>
      <c r="H29" s="131"/>
      <c r="I29" s="101" t="s">
        <v>29</v>
      </c>
      <c r="J29" s="136" t="s">
        <v>11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01" t="s">
        <v>48</v>
      </c>
      <c r="X29" s="126" t="s">
        <v>49</v>
      </c>
      <c r="Y29" s="126" t="s">
        <v>50</v>
      </c>
    </row>
    <row r="30" spans="2:25" s="9" customFormat="1" ht="12.75" customHeight="1" x14ac:dyDescent="0.2">
      <c r="B30" s="126"/>
      <c r="C30" s="126"/>
      <c r="D30" s="126"/>
      <c r="E30" s="126"/>
      <c r="F30" s="128"/>
      <c r="G30" s="132"/>
      <c r="H30" s="133"/>
      <c r="I30" s="102"/>
      <c r="J30" s="134" t="s">
        <v>52</v>
      </c>
      <c r="K30" s="134" t="s">
        <v>51</v>
      </c>
      <c r="L30" s="203" t="s">
        <v>30</v>
      </c>
      <c r="M30" s="137" t="s">
        <v>13</v>
      </c>
      <c r="N30" s="138"/>
      <c r="O30" s="138"/>
      <c r="P30" s="138"/>
      <c r="Q30" s="138"/>
      <c r="R30" s="138"/>
      <c r="S30" s="138"/>
      <c r="T30" s="138"/>
      <c r="U30" s="138"/>
      <c r="V30" s="139"/>
      <c r="W30" s="102"/>
      <c r="X30" s="126"/>
      <c r="Y30" s="126"/>
    </row>
    <row r="31" spans="2:25" s="9" customFormat="1" ht="15" customHeight="1" x14ac:dyDescent="0.2">
      <c r="B31" s="126"/>
      <c r="C31" s="126"/>
      <c r="D31" s="126"/>
      <c r="E31" s="126"/>
      <c r="F31" s="128"/>
      <c r="G31" s="132"/>
      <c r="H31" s="133"/>
      <c r="I31" s="102"/>
      <c r="J31" s="135"/>
      <c r="K31" s="135"/>
      <c r="L31" s="204"/>
      <c r="M31" s="137" t="s">
        <v>14</v>
      </c>
      <c r="N31" s="138"/>
      <c r="O31" s="138"/>
      <c r="P31" s="139"/>
      <c r="Q31" s="140" t="s">
        <v>17</v>
      </c>
      <c r="R31" s="141"/>
      <c r="S31" s="140" t="s">
        <v>20</v>
      </c>
      <c r="T31" s="142"/>
      <c r="U31" s="142"/>
      <c r="V31" s="141"/>
      <c r="W31" s="102"/>
      <c r="X31" s="126"/>
      <c r="Y31" s="126"/>
    </row>
    <row r="32" spans="2:25" s="9" customFormat="1" ht="55.5" customHeight="1" x14ac:dyDescent="0.2">
      <c r="B32" s="126"/>
      <c r="C32" s="126"/>
      <c r="D32" s="64" t="s">
        <v>7</v>
      </c>
      <c r="E32" s="64" t="s">
        <v>8</v>
      </c>
      <c r="F32" s="129"/>
      <c r="G32" s="132"/>
      <c r="H32" s="133"/>
      <c r="I32" s="103"/>
      <c r="J32" s="135"/>
      <c r="K32" s="135"/>
      <c r="L32" s="205"/>
      <c r="M32" s="64" t="s">
        <v>15</v>
      </c>
      <c r="N32" s="61" t="s">
        <v>9</v>
      </c>
      <c r="O32" s="61" t="s">
        <v>16</v>
      </c>
      <c r="P32" s="61" t="s">
        <v>5</v>
      </c>
      <c r="Q32" s="61" t="s">
        <v>18</v>
      </c>
      <c r="R32" s="18" t="s">
        <v>19</v>
      </c>
      <c r="S32" s="61" t="s">
        <v>21</v>
      </c>
      <c r="T32" s="61" t="s">
        <v>22</v>
      </c>
      <c r="U32" s="61" t="s">
        <v>23</v>
      </c>
      <c r="V32" s="61" t="s">
        <v>28</v>
      </c>
      <c r="W32" s="103"/>
      <c r="X32" s="126"/>
      <c r="Y32" s="126"/>
    </row>
    <row r="33" spans="1:25" s="24" customFormat="1" hidden="1" x14ac:dyDescent="0.2">
      <c r="B33" s="62">
        <v>1</v>
      </c>
      <c r="C33" s="20">
        <v>2</v>
      </c>
      <c r="D33" s="62">
        <v>3</v>
      </c>
      <c r="E33" s="62">
        <v>4</v>
      </c>
      <c r="F33" s="62">
        <v>5</v>
      </c>
      <c r="G33" s="125">
        <v>6</v>
      </c>
      <c r="H33" s="125"/>
      <c r="I33" s="62">
        <v>9</v>
      </c>
      <c r="J33" s="62">
        <v>10</v>
      </c>
      <c r="K33" s="62">
        <v>11</v>
      </c>
      <c r="L33" s="62"/>
      <c r="M33" s="62">
        <v>14</v>
      </c>
      <c r="N33" s="21">
        <v>15</v>
      </c>
      <c r="O33" s="62">
        <v>16</v>
      </c>
      <c r="P33" s="62">
        <v>17</v>
      </c>
      <c r="Q33" s="62">
        <v>18</v>
      </c>
      <c r="R33" s="62">
        <v>19</v>
      </c>
      <c r="S33" s="66">
        <v>20</v>
      </c>
      <c r="T33" s="66">
        <v>21</v>
      </c>
      <c r="U33" s="66">
        <v>22</v>
      </c>
      <c r="V33" s="66">
        <v>23</v>
      </c>
      <c r="W33" s="62">
        <v>24</v>
      </c>
      <c r="X33" s="62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05">
        <f>-('Умови та класичний графік'!J12-L34)</f>
        <v>-1227600</v>
      </c>
      <c r="H34" s="106"/>
      <c r="I34" s="29" t="s">
        <v>24</v>
      </c>
      <c r="J34" s="28" t="s">
        <v>24</v>
      </c>
      <c r="K34" s="28" t="s">
        <v>24</v>
      </c>
      <c r="L34" s="30">
        <f>SUM(M34:V34)</f>
        <v>122400</v>
      </c>
      <c r="M34" s="31">
        <v>0</v>
      </c>
      <c r="N34" s="31">
        <v>150</v>
      </c>
      <c r="O34" s="32">
        <f>J14</f>
        <v>20250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графік'!J14*0.1%+5000)</f>
        <v>6500</v>
      </c>
      <c r="T34" s="33">
        <f>SUM(T35:T274)</f>
        <v>0</v>
      </c>
      <c r="U34" s="33">
        <f>'Умови та класичний графік'!U36</f>
        <v>95350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04">
        <f>-(SUM(J35:L35))</f>
        <v>32043.110145278664</v>
      </c>
      <c r="H35" s="104"/>
      <c r="I35" s="32">
        <f>'Умови та класичний графік'!J12+J35</f>
        <v>1343269.3898547213</v>
      </c>
      <c r="J35" s="32">
        <f>PPMT($J$20/12,B35,$J$12,$J$11,0,0)</f>
        <v>-6730.6101452786634</v>
      </c>
      <c r="K35" s="32">
        <f>IPMT($J$20/12,B35,$J$12,$J$11,0,0)</f>
        <v>-25312.5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графік'!$J$13,XIRR($G$34:G34,$C$34:C34,0),"")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04">
        <f t="shared" ref="G36" si="3">-(SUM(J36:L36))</f>
        <v>32043.110145278661</v>
      </c>
      <c r="H36" s="104"/>
      <c r="I36" s="32">
        <f>I35+J36</f>
        <v>1336412.5807692185</v>
      </c>
      <c r="J36" s="32">
        <f t="shared" ref="J36" si="4">PPMT($J$20/12,B36,$J$12,$J$11,0,0)</f>
        <v>-6856.8090855026394</v>
      </c>
      <c r="K36" s="32">
        <f t="shared" ref="K36" si="5">IPMT($J$20/12,B36,$J$12,$J$11,0,0)</f>
        <v>-25186.301059776022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графік'!$J$13,XIRR($G$34:G36,$C$34:C36,0),"")</f>
        <v>-0.99999999952317342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графік'!$J$13,EDATE(C36,1),"")</f>
        <v>44287</v>
      </c>
      <c r="D37" s="36">
        <f>IF(B36&lt;'Умови та класичний графік'!$J$13,C36,"")</f>
        <v>44256</v>
      </c>
      <c r="E37" s="26">
        <f>IF(B36&lt;'Умови та класичний графік'!$J$13,C37-1,"")</f>
        <v>44286</v>
      </c>
      <c r="F37" s="37">
        <f>IF(B36&lt;'Умови та класичний графік'!$J$13,E37-D37+1,"")</f>
        <v>31</v>
      </c>
      <c r="G37" s="104">
        <f>IF(B36&lt;'Умови та класичний графік'!$J$13,-(SUM(J37:L37)),"")</f>
        <v>32043.110145278661</v>
      </c>
      <c r="H37" s="104"/>
      <c r="I37" s="32">
        <f>IF(B36&lt;'Умови та класичний графік'!$J$13,I36+J37,"")</f>
        <v>1329427.2065133627</v>
      </c>
      <c r="J37" s="32">
        <f>IF(B36&lt;'Умови та класичний графік'!$J$13,PPMT($J$20/12,B37,$J$12,$J$11,0,0),"")</f>
        <v>-6985.3742558558142</v>
      </c>
      <c r="K37" s="32">
        <f>IF(B36&lt;'Умови та класичний графік'!$J$13,IPMT($J$20/12,B37,$J$12,$J$11,0,0),"")</f>
        <v>-25057.735889422846</v>
      </c>
      <c r="L37" s="30">
        <f>IF(B36&lt;'Умови та класичний графік'!$J$13,-(SUM(M37:V37)),"")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графік'!$J$13,XIRR($G$34:G37,$C$34:C37,0),"")</f>
        <v>-0.99999834005189014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графік'!$J$13,EDATE(C37,1),"")</f>
        <v>44317</v>
      </c>
      <c r="D38" s="36">
        <f>IF(B37&lt;'Умови та класичний графік'!$J$13,C37,"")</f>
        <v>44287</v>
      </c>
      <c r="E38" s="26">
        <f>IF(B37&lt;'Умови та класичний графік'!$J$13,C38-1,"")</f>
        <v>44316</v>
      </c>
      <c r="F38" s="37">
        <f>IF(B37&lt;'Умови та класичний графік'!$J$13,E38-D38+1,"")</f>
        <v>30</v>
      </c>
      <c r="G38" s="104">
        <f>IF(B37&lt;'Умови та класичний графік'!$J$13,-(SUM(J38:L38)),"")</f>
        <v>32043.110145278661</v>
      </c>
      <c r="H38" s="104"/>
      <c r="I38" s="32">
        <f>IF(B37&lt;'Умови та класичний графік'!$J$13,I37+J38,"")</f>
        <v>1322310.8564902097</v>
      </c>
      <c r="J38" s="32">
        <f>IF(B37&lt;'Умови та класичний графік'!$J$13,PPMT($J$20/12,B38,$J$12,$J$11,0,0),"")</f>
        <v>-7116.3500231531098</v>
      </c>
      <c r="K38" s="32">
        <f>IF(B37&lt;'Умови та класичний графік'!$J$13,IPMT($J$20/12,B38,$J$12,$J$11,0,0),"")</f>
        <v>-24926.76012212555</v>
      </c>
      <c r="L38" s="30">
        <f>IF(B37&lt;'Умови та класичний графік'!$J$13,-(SUM(M38:V38)),"")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графік'!$J$13,XIRR($G$34:G38,$C$34:C38,0),"")</f>
        <v>-0.9999122756312766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графік'!$J$13,EDATE(C38,1),"")</f>
        <v>44348</v>
      </c>
      <c r="D39" s="36">
        <f>IF(B38&lt;'Умови та класичний графік'!$J$13,C38,"")</f>
        <v>44317</v>
      </c>
      <c r="E39" s="26">
        <f>IF(B38&lt;'Умови та класичний графік'!$J$13,C39-1,"")</f>
        <v>44347</v>
      </c>
      <c r="F39" s="37">
        <f>IF(B38&lt;'Умови та класичний графік'!$J$13,E39-D39+1,"")</f>
        <v>31</v>
      </c>
      <c r="G39" s="104">
        <f>IF(B38&lt;'Умови та класичний графік'!$J$13,-(SUM(J39:L39)),"")</f>
        <v>32043.110145278661</v>
      </c>
      <c r="H39" s="104"/>
      <c r="I39" s="32">
        <f>IF(B38&lt;'Умови та класичний графік'!$J$13,I38+J39,"")</f>
        <v>1315061.0749041224</v>
      </c>
      <c r="J39" s="32">
        <f>IF(B38&lt;'Умови та класичний графік'!$J$13,PPMT($J$20/12,B39,$J$12,$J$11,0,0),"")</f>
        <v>-7249.7815860872315</v>
      </c>
      <c r="K39" s="32">
        <f>IF(B38&lt;'Умови та класичний графік'!$J$13,IPMT($J$20/12,B39,$J$12,$J$11,0,0),"")</f>
        <v>-24793.328559191428</v>
      </c>
      <c r="L39" s="30">
        <f>IF(B38&lt;'Умови та класичний графік'!$J$13,-(SUM(M39:V39)),"")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графік'!$J$13,XIRR($G$34:G39,$C$34:C39,0),"")</f>
        <v>-0.99906588028430432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графік'!$J$13,EDATE(C39,1),"")</f>
        <v>44378</v>
      </c>
      <c r="D40" s="36">
        <f>IF(B39&lt;'Умови та класичний графік'!$J$13,C39,"")</f>
        <v>44348</v>
      </c>
      <c r="E40" s="26">
        <f>IF(B39&lt;'Умови та класичний графік'!$J$13,C40-1,"")</f>
        <v>44377</v>
      </c>
      <c r="F40" s="37">
        <f>IF(B39&lt;'Умови та класичний графік'!$J$13,E40-D40+1,"")</f>
        <v>30</v>
      </c>
      <c r="G40" s="104">
        <f>IF(B39&lt;'Умови та класичний графік'!$J$13,-(SUM(J40:L40)),"")</f>
        <v>32043.110145278661</v>
      </c>
      <c r="H40" s="104"/>
      <c r="I40" s="32">
        <f>IF(B39&lt;'Умови та класичний графік'!$J$13,I39+J40,"")</f>
        <v>1307675.3599132961</v>
      </c>
      <c r="J40" s="32">
        <f>IF(B39&lt;'Умови та класичний графік'!$J$13,PPMT($J$20/12,B40,$J$12,$J$11,0,0),"")</f>
        <v>-7385.7149908263664</v>
      </c>
      <c r="K40" s="32">
        <f>IF(B39&lt;'Умови та класичний графік'!$J$13,IPMT($J$20/12,B40,$J$12,$J$11,0,0),"")</f>
        <v>-24657.395154452293</v>
      </c>
      <c r="L40" s="30">
        <f>IF(B39&lt;'Умови та класичний графік'!$J$13,-(SUM(M40:V40)),"")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графік'!$J$13,XIRR($G$34:G40,$C$34:C40,0),"")</f>
        <v>-0.99571085027871176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графік'!$J$13,EDATE(C40,1),"")</f>
        <v>44409</v>
      </c>
      <c r="D41" s="36">
        <f>IF(B40&lt;'Умови та класичний графік'!$J$13,C40,"")</f>
        <v>44378</v>
      </c>
      <c r="E41" s="26">
        <f>IF(B40&lt;'Умови та класичний графік'!$J$13,C41-1,"")</f>
        <v>44408</v>
      </c>
      <c r="F41" s="37">
        <f>IF(B40&lt;'Умови та класичний графік'!$J$13,E41-D41+1,"")</f>
        <v>31</v>
      </c>
      <c r="G41" s="104">
        <f>IF(B40&lt;'Умови та класичний графік'!$J$13,-(SUM(J41:L41)),"")</f>
        <v>32043.110145278661</v>
      </c>
      <c r="H41" s="104"/>
      <c r="I41" s="32">
        <f>IF(B40&lt;'Умови та класичний графік'!$J$13,I40+J41,"")</f>
        <v>1300151.1627663916</v>
      </c>
      <c r="J41" s="32">
        <f>IF(B40&lt;'Умови та класичний графік'!$J$13,PPMT($J$20/12,B41,$J$12,$J$11,0,0),"")</f>
        <v>-7524.197146904361</v>
      </c>
      <c r="K41" s="32">
        <f>IF(B40&lt;'Умови та класичний графік'!$J$13,IPMT($J$20/12,B41,$J$12,$J$11,0,0),"")</f>
        <v>-24518.912998374301</v>
      </c>
      <c r="L41" s="30">
        <f>IF(B40&lt;'Умови та класичний графік'!$J$13,-(SUM(M41:V41)),"")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графік'!$J$13,XIRR($G$34:G41,$C$34:C41,0),"")</f>
        <v>-0.9875013411088569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графік'!$J$13,EDATE(C41,1),"")</f>
        <v>44440</v>
      </c>
      <c r="D42" s="36">
        <f>IF(B41&lt;'Умови та класичний графік'!$J$13,C41,"")</f>
        <v>44409</v>
      </c>
      <c r="E42" s="26">
        <f>IF(B41&lt;'Умови та класичний графік'!$J$13,C42-1,"")</f>
        <v>44439</v>
      </c>
      <c r="F42" s="37">
        <f>IF(B41&lt;'Умови та класичний графік'!$J$13,E42-D42+1,"")</f>
        <v>31</v>
      </c>
      <c r="G42" s="104">
        <f>IF(B41&lt;'Умови та класичний графік'!$J$13,-(SUM(J42:L42)),"")</f>
        <v>32043.110145278661</v>
      </c>
      <c r="H42" s="104"/>
      <c r="I42" s="32">
        <f>IF(B41&lt;'Умови та класичний графік'!$J$13,I41+J42,"")</f>
        <v>1292485.8869229828</v>
      </c>
      <c r="J42" s="32">
        <f>IF(B41&lt;'Умови та класичний графік'!$J$13,PPMT($J$20/12,B42,$J$12,$J$11,0,0),"")</f>
        <v>-7665.2758434088173</v>
      </c>
      <c r="K42" s="32">
        <f>IF(B41&lt;'Умови та класичний графік'!$J$13,IPMT($J$20/12,B42,$J$12,$J$11,0,0),"")</f>
        <v>-24377.834301869843</v>
      </c>
      <c r="L42" s="30">
        <f>IF(B41&lt;'Умови та класичний графік'!$J$13,-(SUM(M42:V42)),"")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графік'!$J$13,XIRR($G$34:G42,$C$34:C42,0),"")</f>
        <v>-0.97266729314405476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графік'!$J$13,EDATE(C42,1),"")</f>
        <v>44470</v>
      </c>
      <c r="D43" s="36">
        <f>IF(B42&lt;'Умови та класичний графік'!$J$13,C42,"")</f>
        <v>44440</v>
      </c>
      <c r="E43" s="26">
        <f>IF(B42&lt;'Умови та класичний графік'!$J$13,C43-1,"")</f>
        <v>44469</v>
      </c>
      <c r="F43" s="37">
        <f>IF(B42&lt;'Умови та класичний графік'!$J$13,E43-D43+1,"")</f>
        <v>30</v>
      </c>
      <c r="G43" s="104">
        <f>IF(B42&lt;'Умови та класичний графік'!$J$13,-(SUM(J43:L43)),"")</f>
        <v>32043.110145278661</v>
      </c>
      <c r="H43" s="104"/>
      <c r="I43" s="32">
        <f>IF(B42&lt;'Умови та класичний графік'!$J$13,I42+J43,"")</f>
        <v>1284676.88715751</v>
      </c>
      <c r="J43" s="32">
        <f>IF(B42&lt;'Умови та класичний графік'!$J$13,PPMT($J$20/12,B43,$J$12,$J$11,0,0),"")</f>
        <v>-7808.9997654727322</v>
      </c>
      <c r="K43" s="32">
        <f>IF(B42&lt;'Умови та класичний графік'!$J$13,IPMT($J$20/12,B43,$J$12,$J$11,0,0),"")</f>
        <v>-24234.110379805927</v>
      </c>
      <c r="L43" s="30">
        <f>IF(B42&lt;'Умови та класичний графік'!$J$13,-(SUM(M43:V43)),"")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графік'!$J$13,XIRR($G$34:G43,$C$34:C43,0),"")</f>
        <v>-0.9507480010805649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графік'!$J$13,EDATE(C43,1),"")</f>
        <v>44501</v>
      </c>
      <c r="D44" s="36">
        <f>IF(B43&lt;'Умови та класичний графік'!$J$13,C43,"")</f>
        <v>44470</v>
      </c>
      <c r="E44" s="26">
        <f>IF(B43&lt;'Умови та класичний графік'!$J$13,C44-1,"")</f>
        <v>44500</v>
      </c>
      <c r="F44" s="37">
        <f>IF(B43&lt;'Умови та класичний графік'!$J$13,E44-D44+1,"")</f>
        <v>31</v>
      </c>
      <c r="G44" s="104">
        <f>IF(B43&lt;'Умови та класичний графік'!$J$13,-(SUM(J44:L44)),"")</f>
        <v>32043.110145278657</v>
      </c>
      <c r="H44" s="104"/>
      <c r="I44" s="32">
        <f>IF(B43&lt;'Умови та класичний графік'!$J$13,I43+J44,"")</f>
        <v>1276721.4686464346</v>
      </c>
      <c r="J44" s="32">
        <f>IF(B43&lt;'Умови та класичний графік'!$J$13,PPMT($J$20/12,B44,$J$12,$J$11,0,0),"")</f>
        <v>-7955.4185110753469</v>
      </c>
      <c r="K44" s="32">
        <f>IF(B43&lt;'Умови та класичний графік'!$J$13,IPMT($J$20/12,B44,$J$12,$J$11,0,0),"")</f>
        <v>-24087.691634203311</v>
      </c>
      <c r="L44" s="30">
        <f>IF(B43&lt;'Умови та класичний графік'!$J$13,-(SUM(M44:V44)),"")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графік'!$J$13,XIRR($G$34:G44,$C$34:C44,0),"")</f>
        <v>-0.92192235995145522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графік'!$J$13,EDATE(C44,1),"")</f>
        <v>44531</v>
      </c>
      <c r="D45" s="36">
        <f>IF(B44&lt;'Умови та класичний графік'!$J$13,C44,"")</f>
        <v>44501</v>
      </c>
      <c r="E45" s="26">
        <f>IF(B44&lt;'Умови та класичний графік'!$J$13,C45-1,"")</f>
        <v>44530</v>
      </c>
      <c r="F45" s="37">
        <f>IF(B44&lt;'Умови та класичний графік'!$J$13,E45-D45+1,"")</f>
        <v>30</v>
      </c>
      <c r="G45" s="104">
        <f>IF(B44&lt;'Умови та класичний графік'!$J$13,-(SUM(J45:L45)),"")</f>
        <v>32043.110145278657</v>
      </c>
      <c r="H45" s="104"/>
      <c r="I45" s="32">
        <f>IF(B44&lt;'Умови та класичний графік'!$J$13,I44+J45,"")</f>
        <v>1268616.8860382766</v>
      </c>
      <c r="J45" s="32">
        <f>IF(B44&lt;'Умови та класичний графік'!$J$13,PPMT($J$20/12,B45,$J$12,$J$11,0,0),"")</f>
        <v>-8104.582608158009</v>
      </c>
      <c r="K45" s="32">
        <f>IF(B44&lt;'Умови та класичний графік'!$J$13,IPMT($J$20/12,B45,$J$12,$J$11,0,0),"")</f>
        <v>-23938.527537120648</v>
      </c>
      <c r="L45" s="30">
        <f>IF(B44&lt;'Умови та класичний графік'!$J$13,-(SUM(M45:V45)),"")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графік'!$J$13,XIRR($G$34:G45,$C$34:C45,0),"")</f>
        <v>-0.88739411636121568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графік'!$J$13,EDATE(C45,1),"")</f>
        <v>44562</v>
      </c>
      <c r="D46" s="36">
        <f>IF(B45&lt;'Умови та класичний графік'!$J$13,C45,"")</f>
        <v>44531</v>
      </c>
      <c r="E46" s="26">
        <f>IF(B45&lt;'Умови та класичний графік'!$J$13,C46-1,"")</f>
        <v>44561</v>
      </c>
      <c r="F46" s="37">
        <f>IF(B45&lt;'Умови та класичний графік'!$J$13,E46-D46+1,"")</f>
        <v>31</v>
      </c>
      <c r="G46" s="104">
        <f>IF(B45&lt;'Умови та класичний графік'!$J$13,-(SUM(J46:L46)),"")</f>
        <v>126814.53871670723</v>
      </c>
      <c r="H46" s="104"/>
      <c r="I46" s="32">
        <f>IF(B45&lt;'Умови та класичний графік'!$J$13,I45+J46,"")</f>
        <v>1260360.3425062157</v>
      </c>
      <c r="J46" s="32">
        <f>IF(B45&lt;'Умови та класичний графік'!$J$13,PPMT($J$20/12,B46,$J$12,$J$11,0,0),"")</f>
        <v>-8256.5435320609722</v>
      </c>
      <c r="K46" s="32">
        <f>IF(B45&lt;'Умови та класичний графік'!$J$13,IPMT($J$20/12,B46,$J$12,$J$11,0,0),"")</f>
        <v>-23786.566613217688</v>
      </c>
      <c r="L46" s="30">
        <f>IF(B45&lt;'Умови та класичний графік'!$J$13,-(SUM(M46:V46)),"")</f>
        <v>-94771.428571428565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94771.428571428565</v>
      </c>
      <c r="V46" s="41"/>
      <c r="W46" s="43">
        <f>IF(B45&lt;'Умови та класичний графік'!$J$13,XIRR($G$34:G46,$C$34:C46,0),"")</f>
        <v>-0.74178899875584969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графік'!$J$13,EDATE(C46,1),"")</f>
        <v>44593</v>
      </c>
      <c r="D47" s="36">
        <f>IF(B46&lt;'Умови та класичний графік'!$J$13,C46,"")</f>
        <v>44562</v>
      </c>
      <c r="E47" s="26">
        <f>IF(B46&lt;'Умови та класичний графік'!$J$13,C47-1,"")</f>
        <v>44592</v>
      </c>
      <c r="F47" s="37">
        <f>IF(B46&lt;'Умови та класичний графік'!$J$13,E47-D47+1,"")</f>
        <v>31</v>
      </c>
      <c r="G47" s="104">
        <f>IF(B46&lt;'Умови та класичний графік'!$J$13,-(SUM(J47:L47)),"")</f>
        <v>32043.110145278661</v>
      </c>
      <c r="H47" s="104"/>
      <c r="I47" s="32">
        <f>IF(B46&lt;'Умови та класичний графік'!$J$13,I46+J47,"")</f>
        <v>1251948.9887829286</v>
      </c>
      <c r="J47" s="32">
        <f>IF(B46&lt;'Умови та класичний графік'!$J$13,PPMT($J$20/12,B47,$J$12,$J$11,0,0),"")</f>
        <v>-8411.3537232871149</v>
      </c>
      <c r="K47" s="32">
        <f>IF(B46&lt;'Умови та класичний графік'!$J$13,IPMT($J$20/12,B47,$J$12,$J$11,0,0),"")</f>
        <v>-23631.756421991544</v>
      </c>
      <c r="L47" s="30">
        <f>IF(B46&lt;'Умови та класичний графік'!$J$13,-(SUM(M47:V47)),"")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>
        <f>IF(B46&lt;'Умови та класичний графік'!$J$13,XIRR($G$34:G47,$C$34:C47,0),"")</f>
        <v>-0.70376259540833519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графік'!$J$13,EDATE(C47,1),"")</f>
        <v>44621</v>
      </c>
      <c r="D48" s="36">
        <f>IF(B47&lt;'Умови та класичний графік'!$J$13,C47,"")</f>
        <v>44593</v>
      </c>
      <c r="E48" s="26">
        <f>IF(B47&lt;'Умови та класичний графік'!$J$13,C48-1,"")</f>
        <v>44620</v>
      </c>
      <c r="F48" s="37">
        <f>IF(B47&lt;'Умови та класичний графік'!$J$13,E48-D48+1,"")</f>
        <v>28</v>
      </c>
      <c r="G48" s="104">
        <f>IF(B47&lt;'Умови та класичний графік'!$J$13,-(SUM(J48:L48)),"")</f>
        <v>32043.110145278664</v>
      </c>
      <c r="H48" s="104"/>
      <c r="I48" s="32">
        <f>IF(B47&lt;'Умови та класичний графік'!$J$13,I47+J48,"")</f>
        <v>1243379.9221773299</v>
      </c>
      <c r="J48" s="32">
        <f>IF(B47&lt;'Умови та класичний графік'!$J$13,PPMT($J$20/12,B48,$J$12,$J$11,0,0),"")</f>
        <v>-8569.0666055987494</v>
      </c>
      <c r="K48" s="32">
        <f>IF(B47&lt;'Умови та класичний графік'!$J$13,IPMT($J$20/12,B48,$J$12,$J$11,0,0),"")</f>
        <v>-23474.043539679915</v>
      </c>
      <c r="L48" s="30">
        <f>IF(B47&lt;'Умови та класичний графік'!$J$13,-(SUM(M48:V48)),"")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>
        <f>IF(B47&lt;'Умови та класичний графік'!$J$13,XIRR($G$34:G48,$C$34:C48,0),"")</f>
        <v>-0.66394250134564958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графік'!$J$13,EDATE(C48,1),"")</f>
        <v>44652</v>
      </c>
      <c r="D49" s="36">
        <f>IF(B48&lt;'Умови та класичний графік'!$J$13,C48,"")</f>
        <v>44621</v>
      </c>
      <c r="E49" s="26">
        <f>IF(B48&lt;'Умови та класичний графік'!$J$13,C49-1,"")</f>
        <v>44651</v>
      </c>
      <c r="F49" s="37">
        <f>IF(B48&lt;'Умови та класичний графік'!$J$13,E49-D49+1,"")</f>
        <v>31</v>
      </c>
      <c r="G49" s="104">
        <f>IF(B48&lt;'Умови та класичний графік'!$J$13,-(SUM(J49:L49)),"")</f>
        <v>32043.110145278661</v>
      </c>
      <c r="H49" s="104"/>
      <c r="I49" s="32">
        <f>IF(B48&lt;'Умови та класичний графік'!$J$13,I48+J49,"")</f>
        <v>1234650.1855728761</v>
      </c>
      <c r="J49" s="32">
        <f>IF(B48&lt;'Умови та класичний графік'!$J$13,PPMT($J$20/12,B49,$J$12,$J$11,0,0),"")</f>
        <v>-8729.7366044537266</v>
      </c>
      <c r="K49" s="32">
        <f>IF(B48&lt;'Умови та класичний графік'!$J$13,IPMT($J$20/12,B49,$J$12,$J$11,0,0),"")</f>
        <v>-23313.373540824934</v>
      </c>
      <c r="L49" s="30">
        <f>IF(B48&lt;'Умови та класичний графік'!$J$13,-(SUM(M49:V49)),"")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>
        <f>IF(B48&lt;'Умови та класичний графік'!$J$13,XIRR($G$34:G49,$C$34:C49,0),"")</f>
        <v>-0.62275741496302184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графік'!$J$13,EDATE(C49,1),"")</f>
        <v>44682</v>
      </c>
      <c r="D50" s="36">
        <f>IF(B49&lt;'Умови та класичний графік'!$J$13,C49,"")</f>
        <v>44652</v>
      </c>
      <c r="E50" s="26">
        <f>IF(B49&lt;'Умови та класичний графік'!$J$13,C50-1,"")</f>
        <v>44681</v>
      </c>
      <c r="F50" s="37">
        <f>IF(B49&lt;'Умови та класичний графік'!$J$13,E50-D50+1,"")</f>
        <v>30</v>
      </c>
      <c r="G50" s="104">
        <f>IF(B49&lt;'Умови та класичний графік'!$J$13,-(SUM(J50:L50)),"")</f>
        <v>32043.110145278661</v>
      </c>
      <c r="H50" s="104"/>
      <c r="I50" s="32">
        <f>IF(B49&lt;'Умови та класичний графік'!$J$13,I49+J50,"")</f>
        <v>1225756.7664070888</v>
      </c>
      <c r="J50" s="32">
        <f>IF(B49&lt;'Умови та класичний графік'!$J$13,PPMT($J$20/12,B50,$J$12,$J$11,0,0),"")</f>
        <v>-8893.4191657872325</v>
      </c>
      <c r="K50" s="32">
        <f>IF(B49&lt;'Умови та класичний графік'!$J$13,IPMT($J$20/12,B50,$J$12,$J$11,0,0),"")</f>
        <v>-23149.690979491428</v>
      </c>
      <c r="L50" s="30">
        <f>IF(B49&lt;'Умови та класичний графік'!$J$13,-(SUM(M50:V50)),"")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>
        <f>IF(B49&lt;'Умови та класичний графік'!$J$13,XIRR($G$34:G50,$C$34:C50,0),"")</f>
        <v>-0.58106375703461477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графік'!$J$13,EDATE(C50,1),"")</f>
        <v>44713</v>
      </c>
      <c r="D51" s="36">
        <f>IF(B50&lt;'Умови та класичний графік'!$J$13,C50,"")</f>
        <v>44682</v>
      </c>
      <c r="E51" s="26">
        <f>IF(B50&lt;'Умови та класичний графік'!$J$13,C51-1,"")</f>
        <v>44712</v>
      </c>
      <c r="F51" s="37">
        <f>IF(B50&lt;'Умови та класичний графік'!$J$13,E51-D51+1,"")</f>
        <v>31</v>
      </c>
      <c r="G51" s="104">
        <f>IF(B50&lt;'Умови та класичний графік'!$J$13,-(SUM(J51:L51)),"")</f>
        <v>32043.110145278657</v>
      </c>
      <c r="H51" s="104"/>
      <c r="I51" s="32">
        <f>IF(B50&lt;'Умови та класичний графік'!$J$13,I50+J51,"")</f>
        <v>1216696.5956319431</v>
      </c>
      <c r="J51" s="32">
        <f>IF(B50&lt;'Умови та класичний графік'!$J$13,PPMT($J$20/12,B51,$J$12,$J$11,0,0),"")</f>
        <v>-9060.1707751457434</v>
      </c>
      <c r="K51" s="32">
        <f>IF(B50&lt;'Умови та класичний графік'!$J$13,IPMT($J$20/12,B51,$J$12,$J$11,0,0),"")</f>
        <v>-22982.939370132914</v>
      </c>
      <c r="L51" s="30">
        <f>IF(B50&lt;'Умови та класичний графік'!$J$13,-(SUM(M51:V51)),"")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>
        <f>IF(B50&lt;'Умови та класичний графік'!$J$13,XIRR($G$34:G51,$C$34:C51,0),"")</f>
        <v>-0.5393701140072199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графік'!$J$13,EDATE(C51,1),"")</f>
        <v>44743</v>
      </c>
      <c r="D52" s="36">
        <f>IF(B51&lt;'Умови та класичний графік'!$J$13,C51,"")</f>
        <v>44713</v>
      </c>
      <c r="E52" s="26">
        <f>IF(B51&lt;'Умови та класичний графік'!$J$13,C52-1,"")</f>
        <v>44742</v>
      </c>
      <c r="F52" s="37">
        <f>IF(B51&lt;'Умови та класичний графік'!$J$13,E52-D52+1,"")</f>
        <v>30</v>
      </c>
      <c r="G52" s="104">
        <f>IF(B51&lt;'Умови та класичний графік'!$J$13,-(SUM(J52:L52)),"")</f>
        <v>32043.110145278661</v>
      </c>
      <c r="H52" s="104"/>
      <c r="I52" s="32">
        <f>IF(B51&lt;'Умови та класичний графік'!$J$13,I51+J52,"")</f>
        <v>1207466.5466547634</v>
      </c>
      <c r="J52" s="32">
        <f>IF(B51&lt;'Умови та класичний графік'!$J$13,PPMT($J$20/12,B52,$J$12,$J$11,0,0),"")</f>
        <v>-9230.0489771797256</v>
      </c>
      <c r="K52" s="32">
        <f>IF(B51&lt;'Умови та класичний графік'!$J$13,IPMT($J$20/12,B52,$J$12,$J$11,0,0),"")</f>
        <v>-22813.061168098935</v>
      </c>
      <c r="L52" s="30">
        <f>IF(B51&lt;'Умови та класичний графік'!$J$13,-(SUM(M52:V52)),"")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>
        <f>IF(B51&lt;'Умови та класичний графік'!$J$13,XIRR($G$34:G52,$C$34:C52,0),"")</f>
        <v>-0.49825500277779999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графік'!$J$13,EDATE(C52,1),"")</f>
        <v>44774</v>
      </c>
      <c r="D53" s="36">
        <f>IF(B52&lt;'Умови та класичний графік'!$J$13,C52,"")</f>
        <v>44743</v>
      </c>
      <c r="E53" s="26">
        <f>IF(B52&lt;'Умови та класичний графік'!$J$13,C53-1,"")</f>
        <v>44773</v>
      </c>
      <c r="F53" s="37">
        <f>IF(B52&lt;'Умови та класичний графік'!$J$13,E53-D53+1,"")</f>
        <v>31</v>
      </c>
      <c r="G53" s="104">
        <f>IF(B52&lt;'Умови та класичний графік'!$J$13,-(SUM(J53:L53)),"")</f>
        <v>32043.110145278661</v>
      </c>
      <c r="H53" s="104"/>
      <c r="I53" s="32">
        <f>IF(B52&lt;'Умови та класичний графік'!$J$13,I52+J53,"")</f>
        <v>1198063.4342592615</v>
      </c>
      <c r="J53" s="32">
        <f>IF(B52&lt;'Умови та класичний графік'!$J$13,PPMT($J$20/12,B53,$J$12,$J$11,0,0),"")</f>
        <v>-9403.1123955018465</v>
      </c>
      <c r="K53" s="32">
        <f>IF(B52&lt;'Умови та класичний графік'!$J$13,IPMT($J$20/12,B53,$J$12,$J$11,0,0),"")</f>
        <v>-22639.997749776812</v>
      </c>
      <c r="L53" s="30">
        <f>IF(B52&lt;'Умови та класичний графік'!$J$13,-(SUM(M53:V53)),"")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>
        <f>IF(B52&lt;'Умови та класичний графік'!$J$13,XIRR($G$34:G53,$C$34:C53,0),"")</f>
        <v>-0.45800307738207291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графік'!$J$13,EDATE(C53,1),"")</f>
        <v>44805</v>
      </c>
      <c r="D54" s="36">
        <f>IF(B53&lt;'Умови та класичний графік'!$J$13,C53,"")</f>
        <v>44774</v>
      </c>
      <c r="E54" s="26">
        <f>IF(B53&lt;'Умови та класичний графік'!$J$13,C54-1,"")</f>
        <v>44804</v>
      </c>
      <c r="F54" s="37">
        <f>IF(B53&lt;'Умови та класичний графік'!$J$13,E54-D54+1,"")</f>
        <v>31</v>
      </c>
      <c r="G54" s="104">
        <f>IF(B53&lt;'Умови та класичний графік'!$J$13,-(SUM(J54:L54)),"")</f>
        <v>32043.110145278657</v>
      </c>
      <c r="H54" s="104"/>
      <c r="I54" s="32">
        <f>IF(B53&lt;'Умови та класичний графік'!$J$13,I53+J54,"")</f>
        <v>1188484.0135063441</v>
      </c>
      <c r="J54" s="32">
        <f>IF(B53&lt;'Умови та класичний графік'!$J$13,PPMT($J$20/12,B54,$J$12,$J$11,0,0),"")</f>
        <v>-9579.4207529175037</v>
      </c>
      <c r="K54" s="32">
        <f>IF(B53&lt;'Умови та класичний графік'!$J$13,IPMT($J$20/12,B54,$J$12,$J$11,0,0),"")</f>
        <v>-22463.689392361153</v>
      </c>
      <c r="L54" s="30">
        <f>IF(B53&lt;'Умови та класичний графік'!$J$13,-(SUM(M54:V54)),"")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>
        <f>IF(B53&lt;'Умови та класичний графік'!$J$13,XIRR($G$34:G54,$C$34:C54,0),"")</f>
        <v>-0.41889726333834232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графік'!$J$13,EDATE(C54,1),"")</f>
        <v>44835</v>
      </c>
      <c r="D55" s="36">
        <f>IF(B54&lt;'Умови та класичний графік'!$J$13,C54,"")</f>
        <v>44805</v>
      </c>
      <c r="E55" s="26">
        <f>IF(B54&lt;'Умови та класичний графік'!$J$13,C55-1,"")</f>
        <v>44834</v>
      </c>
      <c r="F55" s="37">
        <f>IF(B54&lt;'Умови та класичний графік'!$J$13,E55-D55+1,"")</f>
        <v>30</v>
      </c>
      <c r="G55" s="104">
        <f>IF(B54&lt;'Умови та класичний графік'!$J$13,-(SUM(J55:L55)),"")</f>
        <v>32043.110145278661</v>
      </c>
      <c r="H55" s="104"/>
      <c r="I55" s="32">
        <f>IF(B54&lt;'Умови та класичний графік'!$J$13,I54+J55,"")</f>
        <v>1178724.9786143093</v>
      </c>
      <c r="J55" s="32">
        <f>IF(B54&lt;'Умови та класичний графік'!$J$13,PPMT($J$20/12,B55,$J$12,$J$11,0,0),"")</f>
        <v>-9759.0348920347078</v>
      </c>
      <c r="K55" s="32">
        <f>IF(B54&lt;'Умови та класичний графік'!$J$13,IPMT($J$20/12,B55,$J$12,$J$11,0,0),"")</f>
        <v>-22284.075253243951</v>
      </c>
      <c r="L55" s="30">
        <f>IF(B54&lt;'Умови та класичний графік'!$J$13,-(SUM(M55:V55)),"")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>
        <f>IF(B54&lt;'Умови та класичний графік'!$J$13,XIRR($G$34:G55,$C$34:C55,0),"")</f>
        <v>-0.38118166902817785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графік'!$J$13,EDATE(C55,1),"")</f>
        <v>44866</v>
      </c>
      <c r="D56" s="36">
        <f>IF(B55&lt;'Умови та класичний графік'!$J$13,C55,"")</f>
        <v>44835</v>
      </c>
      <c r="E56" s="26">
        <f>IF(B55&lt;'Умови та класичний графік'!$J$13,C56-1,"")</f>
        <v>44865</v>
      </c>
      <c r="F56" s="37">
        <f>IF(B55&lt;'Умови та класичний графік'!$J$13,E56-D56+1,"")</f>
        <v>31</v>
      </c>
      <c r="G56" s="104">
        <f>IF(B55&lt;'Умови та класичний графік'!$J$13,-(SUM(J56:L56)),"")</f>
        <v>32043.110145278661</v>
      </c>
      <c r="H56" s="104"/>
      <c r="I56" s="32">
        <f>IF(B55&lt;'Умови та класичний графік'!$J$13,I55+J56,"")</f>
        <v>1168782.961818049</v>
      </c>
      <c r="J56" s="32">
        <f>IF(B55&lt;'Умови та класичний графік'!$J$13,PPMT($J$20/12,B56,$J$12,$J$11,0,0),"")</f>
        <v>-9942.0167962603609</v>
      </c>
      <c r="K56" s="32">
        <f>IF(B55&lt;'Умови та класичний графік'!$J$13,IPMT($J$20/12,B56,$J$12,$J$11,0,0),"")</f>
        <v>-22101.093349018298</v>
      </c>
      <c r="L56" s="30">
        <f>IF(B55&lt;'Умови та класичний графік'!$J$13,-(SUM(M56:V56)),"")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графік'!$J$13,XIRR($G$34:G56,$C$34:C56,0),"")</f>
        <v>-0.34491990687258545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графік'!$J$13,EDATE(C56,1),"")</f>
        <v>44896</v>
      </c>
      <c r="D57" s="36">
        <f>IF(B56&lt;'Умови та класичний графік'!$J$13,C56,"")</f>
        <v>44866</v>
      </c>
      <c r="E57" s="26">
        <f>IF(B56&lt;'Умови та класичний графік'!$J$13,C57-1,"")</f>
        <v>44895</v>
      </c>
      <c r="F57" s="37">
        <f>IF(B56&lt;'Умови та класичний графік'!$J$13,E57-D57+1,"")</f>
        <v>30</v>
      </c>
      <c r="G57" s="104">
        <f>IF(B56&lt;'Умови та класичний графік'!$J$13,-(SUM(J57:L57)),"")</f>
        <v>32043.110145278657</v>
      </c>
      <c r="H57" s="104"/>
      <c r="I57" s="32">
        <f>IF(B56&lt;'Умови та класичний графік'!$J$13,I56+J57,"")</f>
        <v>1158654.5322068587</v>
      </c>
      <c r="J57" s="32">
        <f>IF(B56&lt;'Умови та класичний графік'!$J$13,PPMT($J$20/12,B57,$J$12,$J$11,0,0),"")</f>
        <v>-10128.42961119024</v>
      </c>
      <c r="K57" s="32">
        <f>IF(B56&lt;'Умови та класичний графік'!$J$13,IPMT($J$20/12,B57,$J$12,$J$11,0,0),"")</f>
        <v>-21914.680534088417</v>
      </c>
      <c r="L57" s="30">
        <f>IF(B56&lt;'Умови та класичний графік'!$J$13,-(SUM(M57:V57)),"")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>
        <f>IF(B56&lt;'Умови та класичний графік'!$J$13,XIRR($G$34:G57,$C$34:C57,0),"")</f>
        <v>-0.31022297451131031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графік'!$J$13,EDATE(C57,1),"")</f>
        <v>44927</v>
      </c>
      <c r="D58" s="36">
        <f>IF(B57&lt;'Умови та класичний графік'!$J$13,C57,"")</f>
        <v>44896</v>
      </c>
      <c r="E58" s="26">
        <f>IF(B57&lt;'Умови та класичний графік'!$J$13,C58-1,"")</f>
        <v>44926</v>
      </c>
      <c r="F58" s="37">
        <f>IF(B57&lt;'Умови та класичний графік'!$J$13,E58-D58+1,"")</f>
        <v>31</v>
      </c>
      <c r="G58" s="104">
        <f>IF(B57&lt;'Умови та класичний графік'!$J$13,-(SUM(J58:L58)),"")</f>
        <v>126235.9672881358</v>
      </c>
      <c r="H58" s="104"/>
      <c r="I58" s="32">
        <f>IF(B57&lt;'Умови та класичний графік'!$J$13,I57+J58,"")</f>
        <v>1148336.1945404587</v>
      </c>
      <c r="J58" s="32">
        <f>IF(B57&lt;'Умови та класичний графік'!$J$13,PPMT($J$20/12,B58,$J$12,$J$11,0,0),"")</f>
        <v>-10318.337666400059</v>
      </c>
      <c r="K58" s="32">
        <f>IF(B57&lt;'Умови та класичний графік'!$J$13,IPMT($J$20/12,B58,$J$12,$J$11,0,0),"")</f>
        <v>-21724.772478878596</v>
      </c>
      <c r="L58" s="30">
        <f>IF(B57&lt;'Умови та класичний графік'!$J$13,-(SUM(M58:V58)),"")</f>
        <v>-94192.857142857145</v>
      </c>
      <c r="M58" s="38"/>
      <c r="N58" s="39"/>
      <c r="O58" s="39"/>
      <c r="P58" s="32"/>
      <c r="Q58" s="40"/>
      <c r="R58" s="40"/>
      <c r="S58" s="41"/>
      <c r="T58" s="41"/>
      <c r="U58" s="33">
        <f>'Умови та класичний графік'!U60</f>
        <v>94192.857142857145</v>
      </c>
      <c r="V58" s="41"/>
      <c r="W58" s="43">
        <f>IF(B57&lt;'Умови та класичний графік'!$J$13,XIRR($G$34:G58,$C$34:C58,0),"")</f>
        <v>-0.19141237272914502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графік'!$J$13,EDATE(C58,1),"")</f>
        <v>44958</v>
      </c>
      <c r="D59" s="36">
        <f>IF(B58&lt;'Умови та класичний графік'!$J$13,C58,"")</f>
        <v>44927</v>
      </c>
      <c r="E59" s="26">
        <f>IF(B58&lt;'Умови та класичний графік'!$J$13,C59-1,"")</f>
        <v>44957</v>
      </c>
      <c r="F59" s="37">
        <f>IF(B58&lt;'Умови та класичний графік'!$J$13,E59-D59+1,"")</f>
        <v>31</v>
      </c>
      <c r="G59" s="104">
        <f>IF(B58&lt;'Умови та класичний графік'!$J$13,-(SUM(J59:L59)),"")</f>
        <v>32043.110145278661</v>
      </c>
      <c r="H59" s="104"/>
      <c r="I59" s="32">
        <f>IF(B58&lt;'Умови та класичний графік'!$J$13,I58+J59,"")</f>
        <v>1137824.3880428136</v>
      </c>
      <c r="J59" s="32">
        <f>IF(B58&lt;'Умови та класичний графік'!$J$13,PPMT($J$20/12,B59,$J$12,$J$11,0,0),"")</f>
        <v>-10511.806497645059</v>
      </c>
      <c r="K59" s="32">
        <f>IF(B58&lt;'Умови та класичний графік'!$J$13,IPMT($J$20/12,B59,$J$12,$J$11,0,0),"")</f>
        <v>-21531.303647633602</v>
      </c>
      <c r="L59" s="30">
        <f>IF(B58&lt;'Умови та класичний графік'!$J$13,-(SUM(M59:V59)),"")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>
        <f>IF(B58&lt;'Умови та класичний графік'!$J$13,XIRR($G$34:G59,$C$34:C59,0),"")</f>
        <v>-0.16484593924891205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графік'!$J$13,EDATE(C59,1),"")</f>
        <v>44986</v>
      </c>
      <c r="D60" s="36">
        <f>IF(B59&lt;'Умови та класичний графік'!$J$13,C59,"")</f>
        <v>44958</v>
      </c>
      <c r="E60" s="26">
        <f>IF(B59&lt;'Умови та класичний графік'!$J$13,C60-1,"")</f>
        <v>44985</v>
      </c>
      <c r="F60" s="37">
        <f>IF(B59&lt;'Умови та класичний графік'!$J$13,E60-D60+1,"")</f>
        <v>28</v>
      </c>
      <c r="G60" s="104">
        <f>IF(B59&lt;'Умови та класичний графік'!$J$13,-(SUM(J60:L60)),"")</f>
        <v>32043.110145278661</v>
      </c>
      <c r="H60" s="104"/>
      <c r="I60" s="32">
        <f>IF(B59&lt;'Умови та класичний графік'!$J$13,I59+J60,"")</f>
        <v>1127115.4851733376</v>
      </c>
      <c r="J60" s="32">
        <f>IF(B59&lt;'Умови та класичний графік'!$J$13,PPMT($J$20/12,B60,$J$12,$J$11,0,0),"")</f>
        <v>-10708.902869475905</v>
      </c>
      <c r="K60" s="32">
        <f>IF(B59&lt;'Умови та класичний графік'!$J$13,IPMT($J$20/12,B60,$J$12,$J$11,0,0),"")</f>
        <v>-21334.207275802753</v>
      </c>
      <c r="L60" s="30">
        <f>IF(B59&lt;'Умови та класичний графік'!$J$13,-(SUM(M60:V60)),"")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>
        <f>IF(B59&lt;'Умови та класичний графік'!$J$13,XIRR($G$34:G60,$C$34:C60,0),"")</f>
        <v>-0.13931908978458496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графік'!$J$13,EDATE(C60,1),"")</f>
        <v>45017</v>
      </c>
      <c r="D61" s="36">
        <f>IF(B60&lt;'Умови та класичний графік'!$J$13,C60,"")</f>
        <v>44986</v>
      </c>
      <c r="E61" s="26">
        <f>IF(B60&lt;'Умови та класичний графік'!$J$13,C61-1,"")</f>
        <v>45016</v>
      </c>
      <c r="F61" s="37">
        <f>IF(B60&lt;'Умови та класичний графік'!$J$13,E61-D61+1,"")</f>
        <v>31</v>
      </c>
      <c r="G61" s="104">
        <f>IF(B60&lt;'Умови та класичний графік'!$J$13,-(SUM(J61:L61)),"")</f>
        <v>32043.110145278661</v>
      </c>
      <c r="H61" s="104"/>
      <c r="I61" s="32">
        <f>IF(B60&lt;'Умови та класичний графік'!$J$13,I60+J61,"")</f>
        <v>1116205.790375059</v>
      </c>
      <c r="J61" s="32">
        <f>IF(B60&lt;'Умови та класичний графік'!$J$13,PPMT($J$20/12,B61,$J$12,$J$11,0,0),"")</f>
        <v>-10909.694798278575</v>
      </c>
      <c r="K61" s="32">
        <f>IF(B60&lt;'Умови та класичний графік'!$J$13,IPMT($J$20/12,B61,$J$12,$J$11,0,0),"")</f>
        <v>-21133.415347000086</v>
      </c>
      <c r="L61" s="30">
        <f>IF(B60&lt;'Умови та класичний графік'!$J$13,-(SUM(M61:V61)),"")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>
        <f>IF(B60&lt;'Умови та класичний графік'!$J$13,XIRR($G$34:G61,$C$34:C61,0),"")</f>
        <v>-0.11481916592631491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графік'!$J$13,EDATE(C61,1),"")</f>
        <v>45047</v>
      </c>
      <c r="D62" s="36">
        <f>IF(B61&lt;'Умови та класичний графік'!$J$13,C61,"")</f>
        <v>45017</v>
      </c>
      <c r="E62" s="26">
        <f>IF(B61&lt;'Умови та класичний графік'!$J$13,C62-1,"")</f>
        <v>45046</v>
      </c>
      <c r="F62" s="37">
        <f>IF(B61&lt;'Умови та класичний графік'!$J$13,E62-D62+1,"")</f>
        <v>30</v>
      </c>
      <c r="G62" s="104">
        <f>IF(B61&lt;'Умови та класичний графік'!$J$13,-(SUM(J62:L62)),"")</f>
        <v>32043.110145278661</v>
      </c>
      <c r="H62" s="104"/>
      <c r="I62" s="32">
        <f>IF(B61&lt;'Умови та класичний графік'!$J$13,I61+J62,"")</f>
        <v>1105091.5387993127</v>
      </c>
      <c r="J62" s="32">
        <f>IF(B61&lt;'Умови та класичний графік'!$J$13,PPMT($J$20/12,B62,$J$12,$J$11,0,0),"")</f>
        <v>-11114.251575746299</v>
      </c>
      <c r="K62" s="32">
        <f>IF(B61&lt;'Умови та класичний графік'!$J$13,IPMT($J$20/12,B62,$J$12,$J$11,0,0),"")</f>
        <v>-20928.85856953236</v>
      </c>
      <c r="L62" s="30">
        <f>IF(B61&lt;'Умови та класичний графік'!$J$13,-(SUM(M62:V62)),"")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>
        <f>IF(B61&lt;'Умови та класичний графік'!$J$13,XIRR($G$34:G62,$C$34:C62,0),"")</f>
        <v>-9.1366775773949915E-2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графік'!$J$13,EDATE(C62,1),"")</f>
        <v>45078</v>
      </c>
      <c r="D63" s="36">
        <f>IF(B62&lt;'Умови та класичний графік'!$J$13,C62,"")</f>
        <v>45047</v>
      </c>
      <c r="E63" s="26">
        <f>IF(B62&lt;'Умови та класичний графік'!$J$13,C63-1,"")</f>
        <v>45077</v>
      </c>
      <c r="F63" s="37">
        <f>IF(B62&lt;'Умови та класичний графік'!$J$13,E63-D63+1,"")</f>
        <v>31</v>
      </c>
      <c r="G63" s="104">
        <f>IF(B62&lt;'Умови та класичний графік'!$J$13,-(SUM(J63:L63)),"")</f>
        <v>32043.110145278653</v>
      </c>
      <c r="H63" s="104"/>
      <c r="I63" s="32">
        <f>IF(B62&lt;'Умови та класичний графік'!$J$13,I62+J63,"")</f>
        <v>1093768.8950065211</v>
      </c>
      <c r="J63" s="32">
        <f>IF(B62&lt;'Умови та класичний графік'!$J$13,PPMT($J$20/12,B63,$J$12,$J$11,0,0),"")</f>
        <v>-11322.643792791545</v>
      </c>
      <c r="K63" s="32">
        <f>IF(B62&lt;'Умови та класичний графік'!$J$13,IPMT($J$20/12,B63,$J$12,$J$11,0,0),"")</f>
        <v>-20720.46635248711</v>
      </c>
      <c r="L63" s="30">
        <f>IF(B62&lt;'Умови та класичний графік'!$J$13,-(SUM(M63:V63)),"")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>
        <f>IF(B62&lt;'Умови та класичний графік'!$J$13,XIRR($G$34:G63,$C$34:C63,0),"")</f>
        <v>-6.8951153346188371E-2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графік'!$J$13,EDATE(C63,1),"")</f>
        <v>45108</v>
      </c>
      <c r="D64" s="36">
        <f>IF(B63&lt;'Умови та класичний графік'!$J$13,C63,"")</f>
        <v>45078</v>
      </c>
      <c r="E64" s="26">
        <f>IF(B63&lt;'Умови та класичний графік'!$J$13,C64-1,"")</f>
        <v>45107</v>
      </c>
      <c r="F64" s="37">
        <f>IF(B63&lt;'Умови та класичний графік'!$J$13,E64-D64+1,"")</f>
        <v>30</v>
      </c>
      <c r="G64" s="104">
        <f>IF(B63&lt;'Умови та класичний графік'!$J$13,-(SUM(J64:L64)),"")</f>
        <v>32043.110145278661</v>
      </c>
      <c r="H64" s="104"/>
      <c r="I64" s="32">
        <f>IF(B63&lt;'Умови та класичний графік'!$J$13,I63+J64,"")</f>
        <v>1082233.9516426148</v>
      </c>
      <c r="J64" s="32">
        <f>IF(B63&lt;'Умови та класичний графік'!$J$13,PPMT($J$20/12,B64,$J$12,$J$11,0,0),"")</f>
        <v>-11534.943363906385</v>
      </c>
      <c r="K64" s="32">
        <f>IF(B63&lt;'Умови та класичний графік'!$J$13,IPMT($J$20/12,B64,$J$12,$J$11,0,0),"")</f>
        <v>-20508.166781372274</v>
      </c>
      <c r="L64" s="30">
        <f>IF(B63&lt;'Умови та класичний графік'!$J$13,-(SUM(M64:V64)),"")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>
        <f>IF(B63&lt;'Умови та класичний графік'!$J$13,XIRR($G$34:G64,$C$34:C64,0),"")</f>
        <v>-4.75624267224595E-2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графік'!$J$13,EDATE(C64,1),"")</f>
        <v>45139</v>
      </c>
      <c r="D65" s="36">
        <f>IF(B64&lt;'Умови та класичний графік'!$J$13,C64,"")</f>
        <v>45108</v>
      </c>
      <c r="E65" s="26">
        <f>IF(B64&lt;'Умови та класичний графік'!$J$13,C65-1,"")</f>
        <v>45138</v>
      </c>
      <c r="F65" s="37">
        <f>IF(B64&lt;'Умови та класичний графік'!$J$13,E65-D65+1,"")</f>
        <v>31</v>
      </c>
      <c r="G65" s="104">
        <f>IF(B64&lt;'Умови та класичний графік'!$J$13,-(SUM(J65:L65)),"")</f>
        <v>32043.110145278661</v>
      </c>
      <c r="H65" s="104"/>
      <c r="I65" s="32">
        <f>IF(B64&lt;'Умови та класичний графік'!$J$13,I64+J65,"")</f>
        <v>1070482.7280906353</v>
      </c>
      <c r="J65" s="32">
        <f>IF(B64&lt;'Умови та класичний графік'!$J$13,PPMT($J$20/12,B65,$J$12,$J$11,0,0),"")</f>
        <v>-11751.22355197963</v>
      </c>
      <c r="K65" s="32">
        <f>IF(B64&lt;'Умови та класичний графік'!$J$13,IPMT($J$20/12,B65,$J$12,$J$11,0,0),"")</f>
        <v>-20291.88659329903</v>
      </c>
      <c r="L65" s="30">
        <f>IF(B64&lt;'Умови та класичний графік'!$J$13,-(SUM(M65:V65)),"")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>
        <f>IF(B64&lt;'Умови та класичний графік'!$J$13,XIRR($G$34:G65,$C$34:C65,0),"")</f>
        <v>-2.7173416456542913E-2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графік'!$J$13,EDATE(C65,1),"")</f>
        <v>45170</v>
      </c>
      <c r="D66" s="36">
        <f>IF(B65&lt;'Умови та класичний графік'!$J$13,C65,"")</f>
        <v>45139</v>
      </c>
      <c r="E66" s="26">
        <f>IF(B65&lt;'Умови та класичний графік'!$J$13,C66-1,"")</f>
        <v>45169</v>
      </c>
      <c r="F66" s="37">
        <f>IF(B65&lt;'Умови та класичний графік'!$J$13,E66-D66+1,"")</f>
        <v>31</v>
      </c>
      <c r="G66" s="104">
        <f>IF(B65&lt;'Умови та класичний графік'!$J$13,-(SUM(J66:L66)),"")</f>
        <v>32043.110145278661</v>
      </c>
      <c r="H66" s="104"/>
      <c r="I66" s="32">
        <f>IF(B65&lt;'Умови та класичний графік'!$J$13,I65+J66,"")</f>
        <v>1058511.1690970559</v>
      </c>
      <c r="J66" s="32">
        <f>IF(B65&lt;'Умови та класичний графік'!$J$13,PPMT($J$20/12,B66,$J$12,$J$11,0,0),"")</f>
        <v>-11971.558993579249</v>
      </c>
      <c r="K66" s="32">
        <f>IF(B65&lt;'Умови та класичний графік'!$J$13,IPMT($J$20/12,B66,$J$12,$J$11,0,0),"")</f>
        <v>-20071.551151699412</v>
      </c>
      <c r="L66" s="30">
        <f>IF(B65&lt;'Умови та класичний графік'!$J$13,-(SUM(M66:V66)),"")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>
        <f>IF(B65&lt;'Умови та класичний графік'!$J$13,XIRR($G$34:G66,$C$34:C66,0),"")</f>
        <v>-7.7562278536334652E-3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графік'!$J$13,EDATE(C66,1),"")</f>
        <v>45200</v>
      </c>
      <c r="D67" s="36">
        <f>IF(B66&lt;'Умови та класичний графік'!$J$13,C66,"")</f>
        <v>45170</v>
      </c>
      <c r="E67" s="26">
        <f>IF(B66&lt;'Умови та класичний графік'!$J$13,C67-1,"")</f>
        <v>45199</v>
      </c>
      <c r="F67" s="37">
        <f>IF(B66&lt;'Умови та класичний графік'!$J$13,E67-D67+1,"")</f>
        <v>30</v>
      </c>
      <c r="G67" s="104">
        <f>IF(B66&lt;'Умови та класичний графік'!$J$13,-(SUM(J67:L67)),"")</f>
        <v>32043.110145278657</v>
      </c>
      <c r="H67" s="104"/>
      <c r="I67" s="32">
        <f>IF(B66&lt;'Умови та класичний графік'!$J$13,I66+J67,"")</f>
        <v>1046315.1433723471</v>
      </c>
      <c r="J67" s="32">
        <f>IF(B66&lt;'Умови та класичний графік'!$J$13,PPMT($J$20/12,B67,$J$12,$J$11,0,0),"")</f>
        <v>-12196.025724708859</v>
      </c>
      <c r="K67" s="32">
        <f>IF(B66&lt;'Умови та класичний графік'!$J$13,IPMT($J$20/12,B67,$J$12,$J$11,0,0),"")</f>
        <v>-19847.084420569798</v>
      </c>
      <c r="L67" s="30">
        <f>IF(B66&lt;'Умови та класичний графік'!$J$13,-(SUM(M67:V67)),"")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>
        <f>IF(B66&lt;'Умови та класичний графік'!$J$13,XIRR($G$34:G67,$C$34:C67,0),"")</f>
        <v>1.0722270507812498E-2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графік'!$J$13,EDATE(C67,1),"")</f>
        <v>45231</v>
      </c>
      <c r="D68" s="36">
        <f>IF(B67&lt;'Умови та класичний графік'!$J$13,C67,"")</f>
        <v>45200</v>
      </c>
      <c r="E68" s="26">
        <f>IF(B67&lt;'Умови та класичний графік'!$J$13,C68-1,"")</f>
        <v>45230</v>
      </c>
      <c r="F68" s="37">
        <f>IF(B67&lt;'Умови та класичний графік'!$J$13,E68-D68+1,"")</f>
        <v>31</v>
      </c>
      <c r="G68" s="104">
        <f>IF(B67&lt;'Умови та класичний графік'!$J$13,-(SUM(J68:L68)),"")</f>
        <v>32043.110145278661</v>
      </c>
      <c r="H68" s="104"/>
      <c r="I68" s="32">
        <f>IF(B67&lt;'Умови та класичний графік'!$J$13,I67+J68,"")</f>
        <v>1033890.4421653</v>
      </c>
      <c r="J68" s="32">
        <f>IF(B67&lt;'Умови та класичний графік'!$J$13,PPMT($J$20/12,B68,$J$12,$J$11,0,0),"")</f>
        <v>-12424.70120704715</v>
      </c>
      <c r="K68" s="32">
        <f>IF(B67&lt;'Умови та класичний графік'!$J$13,IPMT($J$20/12,B68,$J$12,$J$11,0,0),"")</f>
        <v>-19618.408938231511</v>
      </c>
      <c r="L68" s="30">
        <f>IF(B67&lt;'Умови та класичний графік'!$J$13,-(SUM(M68:V68)),"")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графік'!$J$13,XIRR($G$34:G68,$C$34:C68,0),"")</f>
        <v>2.8298852539062509E-2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графік'!$J$13,EDATE(C68,1),"")</f>
        <v>45261</v>
      </c>
      <c r="D69" s="36">
        <f>IF(B68&lt;'Умови та класичний графік'!$J$13,C68,"")</f>
        <v>45231</v>
      </c>
      <c r="E69" s="26">
        <f>IF(B68&lt;'Умови та класичний графік'!$J$13,C69-1,"")</f>
        <v>45260</v>
      </c>
      <c r="F69" s="37">
        <f>IF(B68&lt;'Умови та класичний графік'!$J$13,E69-D69+1,"")</f>
        <v>30</v>
      </c>
      <c r="G69" s="104">
        <f>IF(B68&lt;'Умови та класичний графік'!$J$13,-(SUM(J69:L69)),"")</f>
        <v>32043.110145278661</v>
      </c>
      <c r="H69" s="104"/>
      <c r="I69" s="32">
        <f>IF(B68&lt;'Умови та класичний графік'!$J$13,I68+J69,"")</f>
        <v>1021232.7778106207</v>
      </c>
      <c r="J69" s="32">
        <f>IF(B68&lt;'Умови та класичний графік'!$J$13,PPMT($J$20/12,B69,$J$12,$J$11,0,0),"")</f>
        <v>-12657.664354679286</v>
      </c>
      <c r="K69" s="32">
        <f>IF(B68&lt;'Умови та класичний графік'!$J$13,IPMT($J$20/12,B69,$J$12,$J$11,0,0),"")</f>
        <v>-19385.445790599377</v>
      </c>
      <c r="L69" s="30">
        <f>IF(B68&lt;'Умови та класичний графік'!$J$13,-(SUM(M69:V69)),"")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>
        <f>IF(B68&lt;'Умови та класичний графік'!$J$13,XIRR($G$34:G69,$C$34:C69,0),"")</f>
        <v>4.5012729492187514E-2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графік'!$J$13,EDATE(C69,1),"")</f>
        <v>45292</v>
      </c>
      <c r="D70" s="36">
        <f>IF(B69&lt;'Умови та класичний графік'!$J$13,C69,"")</f>
        <v>45261</v>
      </c>
      <c r="E70" s="26">
        <f>IF(B69&lt;'Умови та класичний графік'!$J$13,C70-1,"")</f>
        <v>45291</v>
      </c>
      <c r="F70" s="37">
        <f>IF(B69&lt;'Умови та класичний графік'!$J$13,E70-D70+1,"")</f>
        <v>31</v>
      </c>
      <c r="G70" s="104">
        <f>IF(B69&lt;'Умови та класичний графік'!$J$13,-(SUM(J70:L70)),"")</f>
        <v>125657.39585956436</v>
      </c>
      <c r="H70" s="104"/>
      <c r="I70" s="32">
        <f>IF(B69&lt;'Умови та класичний графік'!$J$13,I69+J70,"")</f>
        <v>1008337.7822492912</v>
      </c>
      <c r="J70" s="32">
        <f>IF(B69&lt;'Умови та класичний графік'!$J$13,PPMT($J$20/12,B70,$J$12,$J$11,0,0),"")</f>
        <v>-12894.995561329519</v>
      </c>
      <c r="K70" s="32">
        <f>IF(B69&lt;'Умови та класичний графік'!$J$13,IPMT($J$20/12,B70,$J$12,$J$11,0,0),"")</f>
        <v>-19148.114583949136</v>
      </c>
      <c r="L70" s="30">
        <f>IF(B69&lt;'Умови та класичний графік'!$J$13,-(SUM(M70:V70)),"")</f>
        <v>-93614.28571428571</v>
      </c>
      <c r="M70" s="38"/>
      <c r="N70" s="39"/>
      <c r="O70" s="39"/>
      <c r="P70" s="32"/>
      <c r="Q70" s="40"/>
      <c r="R70" s="40"/>
      <c r="S70" s="41"/>
      <c r="T70" s="41"/>
      <c r="U70" s="33">
        <f>'Умови та класичний графік'!U72</f>
        <v>93614.28571428571</v>
      </c>
      <c r="V70" s="41"/>
      <c r="W70" s="43">
        <f>IF(B69&lt;'Умови та класичний графік'!$J$13,XIRR($G$34:G70,$C$34:C70,0),"")</f>
        <v>0.10360061035156252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графік'!$J$13,EDATE(C70,1),"")</f>
        <v>45323</v>
      </c>
      <c r="D71" s="36">
        <f>IF(B70&lt;'Умови та класичний графік'!$J$13,C70,"")</f>
        <v>45292</v>
      </c>
      <c r="E71" s="26">
        <f>IF(B70&lt;'Умови та класичний графік'!$J$13,C71-1,"")</f>
        <v>45322</v>
      </c>
      <c r="F71" s="37">
        <f>IF(B70&lt;'Умови та класичний графік'!$J$13,E71-D71+1,"")</f>
        <v>31</v>
      </c>
      <c r="G71" s="104">
        <f>IF(B70&lt;'Умови та класичний графік'!$J$13,-(SUM(J71:L71)),"")</f>
        <v>32043.110145278661</v>
      </c>
      <c r="H71" s="104"/>
      <c r="I71" s="32">
        <f>IF(B70&lt;'Умови та класичний графік'!$J$13,I70+J71,"")</f>
        <v>995201.00552118674</v>
      </c>
      <c r="J71" s="32">
        <f>IF(B70&lt;'Умови та класичний графік'!$J$13,PPMT($J$20/12,B71,$J$12,$J$11,0,0),"")</f>
        <v>-13136.776728104449</v>
      </c>
      <c r="K71" s="32">
        <f>IF(B70&lt;'Умови та класичний графік'!$J$13,IPMT($J$20/12,B71,$J$12,$J$11,0,0),"")</f>
        <v>-18906.33341717421</v>
      </c>
      <c r="L71" s="30">
        <f>IF(B70&lt;'Умови та класичний графік'!$J$13,-(SUM(M71:V71)),"")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>
        <f>IF(B70&lt;'Умови та класичний графік'!$J$13,XIRR($G$34:G71,$C$34:C71,0),"")</f>
        <v>0.11702207519531255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графік'!$J$13,EDATE(C71,1),"")</f>
        <v>45352</v>
      </c>
      <c r="D72" s="36">
        <f>IF(B71&lt;'Умови та класичний графік'!$J$13,C71,"")</f>
        <v>45323</v>
      </c>
      <c r="E72" s="26">
        <f>IF(B71&lt;'Умови та класичний графік'!$J$13,C72-1,"")</f>
        <v>45351</v>
      </c>
      <c r="F72" s="37">
        <f>IF(B71&lt;'Умови та класичний графік'!$J$13,E72-D72+1,"")</f>
        <v>29</v>
      </c>
      <c r="G72" s="104">
        <f>IF(B71&lt;'Умови та класичний графік'!$J$13,-(SUM(J72:L72)),"")</f>
        <v>32043.110145278657</v>
      </c>
      <c r="H72" s="104"/>
      <c r="I72" s="32">
        <f>IF(B71&lt;'Умови та класичний графік'!$J$13,I71+J72,"")</f>
        <v>981817.91422943037</v>
      </c>
      <c r="J72" s="32">
        <f>IF(B71&lt;'Умови та класичний графік'!$J$13,PPMT($J$20/12,B72,$J$12,$J$11,0,0),"")</f>
        <v>-13383.091291756409</v>
      </c>
      <c r="K72" s="32">
        <f>IF(B71&lt;'Умови та класичний графік'!$J$13,IPMT($J$20/12,B72,$J$12,$J$11,0,0),"")</f>
        <v>-18660.018853522248</v>
      </c>
      <c r="L72" s="30">
        <f>IF(B71&lt;'Умови та класичний графік'!$J$13,-(SUM(M72:V72)),"")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>
        <f>IF(B71&lt;'Умови та класичний графік'!$J$13,XIRR($G$34:G72,$C$34:C72,0),"")</f>
        <v>0.12983968261718754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графік'!$J$13,EDATE(C72,1),"")</f>
        <v>45383</v>
      </c>
      <c r="D73" s="36">
        <f>IF(B72&lt;'Умови та класичний графік'!$J$13,C72,"")</f>
        <v>45352</v>
      </c>
      <c r="E73" s="26">
        <f>IF(B72&lt;'Умови та класичний графік'!$J$13,C73-1,"")</f>
        <v>45382</v>
      </c>
      <c r="F73" s="37">
        <f>IF(B72&lt;'Умови та класичний графік'!$J$13,E73-D73+1,"")</f>
        <v>31</v>
      </c>
      <c r="G73" s="104">
        <f>IF(B72&lt;'Умови та класичний графік'!$J$13,-(SUM(J73:L73)),"")</f>
        <v>32043.110145278657</v>
      </c>
      <c r="H73" s="104"/>
      <c r="I73" s="32">
        <f>IF(B72&lt;'Умови та класичний графік'!$J$13,I72+J73,"")</f>
        <v>968183.8899759535</v>
      </c>
      <c r="J73" s="32">
        <f>IF(B72&lt;'Умови та класичний графік'!$J$13,PPMT($J$20/12,B73,$J$12,$J$11,0,0),"")</f>
        <v>-13634.02425347684</v>
      </c>
      <c r="K73" s="32">
        <f>IF(B72&lt;'Умови та класичний графік'!$J$13,IPMT($J$20/12,B73,$J$12,$J$11,0,0),"")</f>
        <v>-18409.085891801817</v>
      </c>
      <c r="L73" s="30">
        <f>IF(B72&lt;'Умови та класичний графік'!$J$13,-(SUM(M73:V73)),"")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>
        <f>IF(B72&lt;'Умови та класичний графік'!$J$13,XIRR($G$34:G73,$C$34:C73,0),"")</f>
        <v>0.14206900878906248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графік'!$J$13,EDATE(C73,1),"")</f>
        <v>45413</v>
      </c>
      <c r="D74" s="36">
        <f>IF(B73&lt;'Умови та класичний графік'!$J$13,C73,"")</f>
        <v>45383</v>
      </c>
      <c r="E74" s="26">
        <f>IF(B73&lt;'Умови та класичний графік'!$J$13,C74-1,"")</f>
        <v>45412</v>
      </c>
      <c r="F74" s="37">
        <f>IF(B73&lt;'Умови та класичний графік'!$J$13,E74-D74+1,"")</f>
        <v>30</v>
      </c>
      <c r="G74" s="104">
        <f>IF(B73&lt;'Умови та класичний графік'!$J$13,-(SUM(J74:L74)),"")</f>
        <v>32043.110145278661</v>
      </c>
      <c r="H74" s="104"/>
      <c r="I74" s="32">
        <f>IF(B73&lt;'Умови та класичний графік'!$J$13,I73+J74,"")</f>
        <v>954294.22776772396</v>
      </c>
      <c r="J74" s="32">
        <f>IF(B73&lt;'Умови та класичний графік'!$J$13,PPMT($J$20/12,B74,$J$12,$J$11,0,0),"")</f>
        <v>-13889.662208229531</v>
      </c>
      <c r="K74" s="32">
        <f>IF(B73&lt;'Умови та класичний графік'!$J$13,IPMT($J$20/12,B74,$J$12,$J$11,0,0),"")</f>
        <v>-18153.447937049128</v>
      </c>
      <c r="L74" s="30">
        <f>IF(B73&lt;'Умови та класичний графік'!$J$13,-(SUM(M74:V74)),"")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>
        <f>IF(B73&lt;'Умови та класичний графік'!$J$13,XIRR($G$34:G74,$C$34:C74,0),"")</f>
        <v>0.1537381689453125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графік'!$J$13,EDATE(C74,1),"")</f>
        <v>45444</v>
      </c>
      <c r="D75" s="36">
        <f>IF(B74&lt;'Умови та класичний графік'!$J$13,C74,"")</f>
        <v>45413</v>
      </c>
      <c r="E75" s="26">
        <f>IF(B74&lt;'Умови та класичний графік'!$J$13,C75-1,"")</f>
        <v>45443</v>
      </c>
      <c r="F75" s="37">
        <f>IF(B74&lt;'Умови та класичний графік'!$J$13,E75-D75+1,"")</f>
        <v>31</v>
      </c>
      <c r="G75" s="104">
        <f>IF(B74&lt;'Умови та класичний графік'!$J$13,-(SUM(J75:L75)),"")</f>
        <v>32043.110145278657</v>
      </c>
      <c r="H75" s="104"/>
      <c r="I75" s="32">
        <f>IF(B74&lt;'Умови та класичний графік'!$J$13,I74+J75,"")</f>
        <v>940144.13439309015</v>
      </c>
      <c r="J75" s="32">
        <f>IF(B74&lt;'Умови та класичний графік'!$J$13,PPMT($J$20/12,B75,$J$12,$J$11,0,0),"")</f>
        <v>-14150.093374633834</v>
      </c>
      <c r="K75" s="32">
        <f>IF(B74&lt;'Умови та класичний графік'!$J$13,IPMT($J$20/12,B75,$J$12,$J$11,0,0),"")</f>
        <v>-17893.016770644823</v>
      </c>
      <c r="L75" s="30">
        <f>IF(B74&lt;'Умови та класичний графік'!$J$13,-(SUM(M75:V75)),"")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>
        <f>IF(B74&lt;'Умови та класичний графік'!$J$13,XIRR($G$34:G75,$C$34:C75,0),"")</f>
        <v>0.1648667529296875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графік'!$J$13,EDATE(C75,1),"")</f>
        <v>45474</v>
      </c>
      <c r="D76" s="36">
        <f>IF(B75&lt;'Умови та класичний графік'!$J$13,C75,"")</f>
        <v>45444</v>
      </c>
      <c r="E76" s="26">
        <f>IF(B75&lt;'Умови та класичний графік'!$J$13,C76-1,"")</f>
        <v>45473</v>
      </c>
      <c r="F76" s="37">
        <f>IF(B75&lt;'Умови та класичний графік'!$J$13,E76-D76+1,"")</f>
        <v>30</v>
      </c>
      <c r="G76" s="104">
        <f>IF(B75&lt;'Умови та класичний графік'!$J$13,-(SUM(J76:L76)),"")</f>
        <v>32043.110145278661</v>
      </c>
      <c r="H76" s="104"/>
      <c r="I76" s="32">
        <f>IF(B75&lt;'Умови та класичний графік'!$J$13,I75+J76,"")</f>
        <v>925728.72676768189</v>
      </c>
      <c r="J76" s="32">
        <f>IF(B75&lt;'Умови та класичний графік'!$J$13,PPMT($J$20/12,B76,$J$12,$J$11,0,0),"")</f>
        <v>-14415.407625408219</v>
      </c>
      <c r="K76" s="32">
        <f>IF(B75&lt;'Умови та класичний графік'!$J$13,IPMT($J$20/12,B76,$J$12,$J$11,0,0),"")</f>
        <v>-17627.702519870443</v>
      </c>
      <c r="L76" s="30">
        <f>IF(B75&lt;'Умови та класичний графік'!$J$13,-(SUM(M76:V76)),"")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>
        <f>IF(B75&lt;'Умови та класичний графік'!$J$13,XIRR($G$34:G76,$C$34:C76,0),"")</f>
        <v>0.17548306152343757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графік'!$J$13,EDATE(C76,1),"")</f>
        <v>45505</v>
      </c>
      <c r="D77" s="36">
        <f>IF(B76&lt;'Умови та класичний графік'!$J$13,C76,"")</f>
        <v>45474</v>
      </c>
      <c r="E77" s="26">
        <f>IF(B76&lt;'Умови та класичний графік'!$J$13,C77-1,"")</f>
        <v>45504</v>
      </c>
      <c r="F77" s="37">
        <f>IF(B76&lt;'Умови та класичний графік'!$J$13,E77-D77+1,"")</f>
        <v>31</v>
      </c>
      <c r="G77" s="104">
        <f>IF(B76&lt;'Умови та класичний графік'!$J$13,-(SUM(J77:L77)),"")</f>
        <v>32043.110145278661</v>
      </c>
      <c r="H77" s="104"/>
      <c r="I77" s="32">
        <f>IF(B76&lt;'Умови та класичний графік'!$J$13,I76+J77,"")</f>
        <v>911043.03024929727</v>
      </c>
      <c r="J77" s="32">
        <f>IF(B76&lt;'Умови та класичний графік'!$J$13,PPMT($J$20/12,B77,$J$12,$J$11,0,0),"")</f>
        <v>-14685.696518384622</v>
      </c>
      <c r="K77" s="32">
        <f>IF(B76&lt;'Умови та класичний графік'!$J$13,IPMT($J$20/12,B77,$J$12,$J$11,0,0),"")</f>
        <v>-17357.413626894038</v>
      </c>
      <c r="L77" s="30">
        <f>IF(B76&lt;'Умови та класичний графік'!$J$13,-(SUM(M77:V77)),"")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>
        <f>IF(B76&lt;'Умови та класичний графік'!$J$13,XIRR($G$34:G77,$C$34:C77,0),"")</f>
        <v>0.18560599121093757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графік'!$J$13,EDATE(C77,1),"")</f>
        <v>45536</v>
      </c>
      <c r="D78" s="36">
        <f>IF(B77&lt;'Умови та класичний графік'!$J$13,C77,"")</f>
        <v>45505</v>
      </c>
      <c r="E78" s="26">
        <f>IF(B77&lt;'Умови та класичний графік'!$J$13,C78-1,"")</f>
        <v>45535</v>
      </c>
      <c r="F78" s="37">
        <f>IF(B77&lt;'Умови та класичний графік'!$J$13,E78-D78+1,"")</f>
        <v>31</v>
      </c>
      <c r="G78" s="104">
        <f>IF(B77&lt;'Умови та класичний графік'!$J$13,-(SUM(J78:L78)),"")</f>
        <v>32043.110145278657</v>
      </c>
      <c r="H78" s="104"/>
      <c r="I78" s="32">
        <f>IF(B77&lt;'Умови та класичний графік'!$J$13,I77+J78,"")</f>
        <v>896081.97692119295</v>
      </c>
      <c r="J78" s="32">
        <f>IF(B77&lt;'Умови та класичний графік'!$J$13,PPMT($J$20/12,B78,$J$12,$J$11,0,0),"")</f>
        <v>-14961.053328104335</v>
      </c>
      <c r="K78" s="32">
        <f>IF(B77&lt;'Умови та класичний графік'!$J$13,IPMT($J$20/12,B78,$J$12,$J$11,0,0),"")</f>
        <v>-17082.056817174322</v>
      </c>
      <c r="L78" s="30">
        <f>IF(B77&lt;'Умови та класичний графік'!$J$13,-(SUM(M78:V78)),"")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>
        <f>IF(B77&lt;'Умови та класичний графік'!$J$13,XIRR($G$34:G78,$C$34:C78,0),"")</f>
        <v>0.19525837402343754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графік'!$J$13,EDATE(C78,1),"")</f>
        <v>45566</v>
      </c>
      <c r="D79" s="36">
        <f>IF(B78&lt;'Умови та класичний графік'!$J$13,C78,"")</f>
        <v>45536</v>
      </c>
      <c r="E79" s="26">
        <f>IF(B78&lt;'Умови та класичний графік'!$J$13,C79-1,"")</f>
        <v>45565</v>
      </c>
      <c r="F79" s="37">
        <f>IF(B78&lt;'Умови та класичний графік'!$J$13,E79-D79+1,"")</f>
        <v>30</v>
      </c>
      <c r="G79" s="104">
        <f>IF(B78&lt;'Умови та класичний графік'!$J$13,-(SUM(J79:L79)),"")</f>
        <v>32043.110145278661</v>
      </c>
      <c r="H79" s="104"/>
      <c r="I79" s="32">
        <f>IF(B78&lt;'Умови та класичний графік'!$J$13,I78+J79,"")</f>
        <v>880840.40384318668</v>
      </c>
      <c r="J79" s="32">
        <f>IF(B78&lt;'Умови та класичний графік'!$J$13,PPMT($J$20/12,B79,$J$12,$J$11,0,0),"")</f>
        <v>-15241.57307800629</v>
      </c>
      <c r="K79" s="32">
        <f>IF(B78&lt;'Умови та класичний графік'!$J$13,IPMT($J$20/12,B79,$J$12,$J$11,0,0),"")</f>
        <v>-16801.537067272373</v>
      </c>
      <c r="L79" s="30">
        <f>IF(B78&lt;'Умови та класичний графік'!$J$13,-(SUM(M79:V79)),"")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>
        <f>IF(B78&lt;'Умови та класичний графік'!$J$13,XIRR($G$34:G79,$C$34:C79,0),"")</f>
        <v>0.20446706542968757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графік'!$J$13,EDATE(C79,1),"")</f>
        <v>45597</v>
      </c>
      <c r="D80" s="36">
        <f>IF(B79&lt;'Умови та класичний графік'!$J$13,C79,"")</f>
        <v>45566</v>
      </c>
      <c r="E80" s="26">
        <f>IF(B79&lt;'Умови та класичний графік'!$J$13,C80-1,"")</f>
        <v>45596</v>
      </c>
      <c r="F80" s="37">
        <f>IF(B79&lt;'Умови та класичний графік'!$J$13,E80-D80+1,"")</f>
        <v>31</v>
      </c>
      <c r="G80" s="104">
        <f>IF(B79&lt;'Умови та класичний графік'!$J$13,-(SUM(J80:L80)),"")</f>
        <v>32043.110145278661</v>
      </c>
      <c r="H80" s="104"/>
      <c r="I80" s="32">
        <f>IF(B79&lt;'Умови та класичний графік'!$J$13,I79+J80,"")</f>
        <v>865313.05126996781</v>
      </c>
      <c r="J80" s="32">
        <f>IF(B79&lt;'Умови та класичний графік'!$J$13,PPMT($J$20/12,B80,$J$12,$J$11,0,0),"")</f>
        <v>-15527.35257321891</v>
      </c>
      <c r="K80" s="32">
        <f>IF(B79&lt;'Умови та класичний графік'!$J$13,IPMT($J$20/12,B80,$J$12,$J$11,0,0),"")</f>
        <v>-16515.757572059749</v>
      </c>
      <c r="L80" s="30">
        <f>IF(B79&lt;'Умови та класичний графік'!$J$13,-(SUM(M80:V80)),"")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графік'!$J$13,XIRR($G$34:G80,$C$34:C80,0),"")</f>
        <v>0.21324897949218752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графік'!$J$13,EDATE(C80,1),"")</f>
        <v>45627</v>
      </c>
      <c r="D81" s="36">
        <f>IF(B80&lt;'Умови та класичний графік'!$J$13,C80,"")</f>
        <v>45597</v>
      </c>
      <c r="E81" s="26">
        <f>IF(B80&lt;'Умови та класичний графік'!$J$13,C81-1,"")</f>
        <v>45626</v>
      </c>
      <c r="F81" s="37">
        <f>IF(B80&lt;'Умови та класичний графік'!$J$13,E81-D81+1,"")</f>
        <v>30</v>
      </c>
      <c r="G81" s="104">
        <f>IF(B80&lt;'Умови та класичний графік'!$J$13,-(SUM(J81:L81)),"")</f>
        <v>32043.110145278661</v>
      </c>
      <c r="H81" s="104"/>
      <c r="I81" s="32">
        <f>IF(B80&lt;'Умови та класичний графік'!$J$13,I80+J81,"")</f>
        <v>849494.56083600107</v>
      </c>
      <c r="J81" s="32">
        <f>IF(B80&lt;'Умови та класичний графік'!$J$13,PPMT($J$20/12,B81,$J$12,$J$11,0,0),"")</f>
        <v>-15818.490433966763</v>
      </c>
      <c r="K81" s="32">
        <f>IF(B80&lt;'Умови та класичний графік'!$J$13,IPMT($J$20/12,B81,$J$12,$J$11,0,0),"")</f>
        <v>-16224.619711311896</v>
      </c>
      <c r="L81" s="30">
        <f>IF(B80&lt;'Умови та класичний графік'!$J$13,-(SUM(M81:V81)),"")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>
        <f>IF(B80&lt;'Умови та класичний графік'!$J$13,XIRR($G$34:G81,$C$34:C81,0),"")</f>
        <v>0.2216293603515625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графік'!$J$13,EDATE(C81,1),"")</f>
        <v>45658</v>
      </c>
      <c r="D82" s="36">
        <f>IF(B81&lt;'Умови та класичний графік'!$J$13,C81,"")</f>
        <v>45627</v>
      </c>
      <c r="E82" s="26">
        <f>IF(B81&lt;'Умови та класичний графік'!$J$13,C82-1,"")</f>
        <v>45657</v>
      </c>
      <c r="F82" s="37">
        <f>IF(B81&lt;'Умови та класичний графік'!$J$13,E82-D82+1,"")</f>
        <v>31</v>
      </c>
      <c r="G82" s="104">
        <f>IF(B81&lt;'Умови та класичний графік'!$J$13,-(SUM(J82:L82)),"")</f>
        <v>125078.82443099294</v>
      </c>
      <c r="H82" s="104"/>
      <c r="I82" s="32">
        <f>IF(B81&lt;'Умови та класичний графік'!$J$13,I81+J82,"")</f>
        <v>833379.47370639746</v>
      </c>
      <c r="J82" s="32">
        <f>IF(B81&lt;'Умови та класичний графік'!$J$13,PPMT($J$20/12,B82,$J$12,$J$11,0,0),"")</f>
        <v>-16115.087129603642</v>
      </c>
      <c r="K82" s="32">
        <f>IF(B81&lt;'Умови та класичний графік'!$J$13,IPMT($J$20/12,B82,$J$12,$J$11,0,0),"")</f>
        <v>-15928.023015675019</v>
      </c>
      <c r="L82" s="30">
        <f>IF(B81&lt;'Умови та класичний графік'!$J$13,-(SUM(M82:V82)),"")</f>
        <v>-93035.71428571429</v>
      </c>
      <c r="M82" s="38"/>
      <c r="N82" s="39"/>
      <c r="O82" s="39"/>
      <c r="P82" s="32"/>
      <c r="Q82" s="40"/>
      <c r="R82" s="40"/>
      <c r="S82" s="41"/>
      <c r="T82" s="41"/>
      <c r="U82" s="33">
        <f>'Умови та класичний графік'!U84</f>
        <v>93035.71428571429</v>
      </c>
      <c r="V82" s="41"/>
      <c r="W82" s="43">
        <f>IF(B81&lt;'Умови та класичний графік'!$J$13,XIRR($G$34:G82,$C$34:C82,0),"")</f>
        <v>0.25158626464843747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графік'!$J$13,EDATE(C82,1),"")</f>
        <v>45689</v>
      </c>
      <c r="D83" s="36">
        <f>IF(B82&lt;'Умови та класичний графік'!$J$13,C82,"")</f>
        <v>45658</v>
      </c>
      <c r="E83" s="26">
        <f>IF(B82&lt;'Умови та класичний графік'!$J$13,C83-1,"")</f>
        <v>45688</v>
      </c>
      <c r="F83" s="37">
        <f>IF(B82&lt;'Умови та класичний графік'!$J$13,E83-D83+1,"")</f>
        <v>31</v>
      </c>
      <c r="G83" s="104">
        <f>IF(B82&lt;'Умови та класичний графік'!$J$13,-(SUM(J83:L83)),"")</f>
        <v>32043.110145278664</v>
      </c>
      <c r="H83" s="104"/>
      <c r="I83" s="32">
        <f>IF(B82&lt;'Умови та класичний графік'!$J$13,I82+J83,"")</f>
        <v>816962.22869311378</v>
      </c>
      <c r="J83" s="32">
        <f>IF(B82&lt;'Умови та класичний графік'!$J$13,PPMT($J$20/12,B83,$J$12,$J$11,0,0),"")</f>
        <v>-16417.245013283711</v>
      </c>
      <c r="K83" s="32">
        <f>IF(B82&lt;'Умови та класичний графік'!$J$13,IPMT($J$20/12,B83,$J$12,$J$11,0,0),"")</f>
        <v>-15625.865131994953</v>
      </c>
      <c r="L83" s="30">
        <f>IF(B82&lt;'Умови та класичний графік'!$J$13,-(SUM(M83:V83)),"")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>
        <f>IF(B82&lt;'Умови та класичний графік'!$J$13,XIRR($G$34:G83,$C$34:C83,0),"")</f>
        <v>0.25862879394531246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графік'!$J$13,EDATE(C83,1),"")</f>
        <v>45717</v>
      </c>
      <c r="D84" s="36">
        <f>IF(B83&lt;'Умови та класичний графік'!$J$13,C83,"")</f>
        <v>45689</v>
      </c>
      <c r="E84" s="26">
        <f>IF(B83&lt;'Умови та класичний графік'!$J$13,C84-1,"")</f>
        <v>45716</v>
      </c>
      <c r="F84" s="37">
        <f>IF(B83&lt;'Умови та класичний графік'!$J$13,E84-D84+1,"")</f>
        <v>28</v>
      </c>
      <c r="G84" s="104">
        <f>IF(B83&lt;'Умови та класичний графік'!$J$13,-(SUM(J84:L84)),"")</f>
        <v>32043.110145278661</v>
      </c>
      <c r="H84" s="104"/>
      <c r="I84" s="32">
        <f>IF(B83&lt;'Умови та класичний графік'!$J$13,I83+J84,"")</f>
        <v>800237.16033583099</v>
      </c>
      <c r="J84" s="32">
        <f>IF(B83&lt;'Умови та класичний графік'!$J$13,PPMT($J$20/12,B84,$J$12,$J$11,0,0),"")</f>
        <v>-16725.06835728278</v>
      </c>
      <c r="K84" s="32">
        <f>IF(B83&lt;'Умови та класичний графік'!$J$13,IPMT($J$20/12,B84,$J$12,$J$11,0,0),"")</f>
        <v>-15318.04178799588</v>
      </c>
      <c r="L84" s="30">
        <f>IF(B83&lt;'Умови та класичний графік'!$J$13,-(SUM(M84:V84)),"")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>
        <f>IF(B83&lt;'Умови та класичний графік'!$J$13,XIRR($G$34:G84,$C$34:C84,0),"")</f>
        <v>0.26537300292968746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графік'!$J$13,EDATE(C84,1),"")</f>
        <v>45748</v>
      </c>
      <c r="D85" s="36">
        <f>IF(B84&lt;'Умови та класичний графік'!$J$13,C84,"")</f>
        <v>45717</v>
      </c>
      <c r="E85" s="26">
        <f>IF(B84&lt;'Умови та класичний графік'!$J$13,C85-1,"")</f>
        <v>45747</v>
      </c>
      <c r="F85" s="37">
        <f>IF(B84&lt;'Умови та класичний графік'!$J$13,E85-D85+1,"")</f>
        <v>31</v>
      </c>
      <c r="G85" s="104">
        <f>IF(B84&lt;'Умови та класичний графік'!$J$13,-(SUM(J85:L85)),"")</f>
        <v>32043.110145278657</v>
      </c>
      <c r="H85" s="104"/>
      <c r="I85" s="32">
        <f>IF(B84&lt;'Умови та класичний графік'!$J$13,I84+J85,"")</f>
        <v>783198.49694684916</v>
      </c>
      <c r="J85" s="32">
        <f>IF(B84&lt;'Умови та класичний графік'!$J$13,PPMT($J$20/12,B85,$J$12,$J$11,0,0),"")</f>
        <v>-17038.663388981829</v>
      </c>
      <c r="K85" s="32">
        <f>IF(B84&lt;'Умови та класичний графік'!$J$13,IPMT($J$20/12,B85,$J$12,$J$11,0,0),"")</f>
        <v>-15004.446756296828</v>
      </c>
      <c r="L85" s="30">
        <f>IF(B84&lt;'Умови та класичний графік'!$J$13,-(SUM(M85:V85)),"")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>
        <f>IF(B84&lt;'Умови та класичний графік'!$J$13,XIRR($G$34:G85,$C$34:C85,0),"")</f>
        <v>0.2718199365234375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графік'!$J$13,EDATE(C85,1),"")</f>
        <v>45778</v>
      </c>
      <c r="D86" s="36">
        <f>IF(B85&lt;'Умови та класичний графік'!$J$13,C85,"")</f>
        <v>45748</v>
      </c>
      <c r="E86" s="26">
        <f>IF(B85&lt;'Умови та класичний графік'!$J$13,C86-1,"")</f>
        <v>45777</v>
      </c>
      <c r="F86" s="37">
        <f>IF(B85&lt;'Умови та класичний графік'!$J$13,E86-D86+1,"")</f>
        <v>30</v>
      </c>
      <c r="G86" s="104">
        <f>IF(B85&lt;'Умови та класичний графік'!$J$13,-(SUM(J86:L86)),"")</f>
        <v>32043.110145278661</v>
      </c>
      <c r="H86" s="104"/>
      <c r="I86" s="32">
        <f>IF(B85&lt;'Умови та класичний графік'!$J$13,I85+J86,"")</f>
        <v>765840.35861932393</v>
      </c>
      <c r="J86" s="32">
        <f>IF(B85&lt;'Умови та класичний графік'!$J$13,PPMT($J$20/12,B86,$J$12,$J$11,0,0),"")</f>
        <v>-17358.138327525241</v>
      </c>
      <c r="K86" s="32">
        <f>IF(B85&lt;'Умови та класичний графік'!$J$13,IPMT($J$20/12,B86,$J$12,$J$11,0,0),"")</f>
        <v>-14684.971817753421</v>
      </c>
      <c r="L86" s="30">
        <f>IF(B85&lt;'Умови та класичний графік'!$J$13,-(SUM(M86:V86)),"")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>
        <f>IF(B85&lt;'Умови та класичний графік'!$J$13,XIRR($G$34:G86,$C$34:C86,0),"")</f>
        <v>0.27798741699218754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графік'!$J$13,EDATE(C86,1),"")</f>
        <v>45809</v>
      </c>
      <c r="D87" s="36">
        <f>IF(B86&lt;'Умови та класичний графік'!$J$13,C86,"")</f>
        <v>45778</v>
      </c>
      <c r="E87" s="26">
        <f>IF(B86&lt;'Умови та класичний графік'!$J$13,C87-1,"")</f>
        <v>45808</v>
      </c>
      <c r="F87" s="37">
        <f>IF(B86&lt;'Умови та класичний графік'!$J$13,E87-D87+1,"")</f>
        <v>31</v>
      </c>
      <c r="G87" s="104">
        <f>IF(B86&lt;'Умови та класичний графік'!$J$13,-(SUM(J87:L87)),"")</f>
        <v>32043.110145278661</v>
      </c>
      <c r="H87" s="104"/>
      <c r="I87" s="32">
        <f>IF(B86&lt;'Умови та класичний графік'!$J$13,I86+J87,"")</f>
        <v>748156.75519815763</v>
      </c>
      <c r="J87" s="32">
        <f>IF(B86&lt;'Умови та класичний графік'!$J$13,PPMT($J$20/12,B87,$J$12,$J$11,0,0),"")</f>
        <v>-17683.603421166335</v>
      </c>
      <c r="K87" s="32">
        <f>IF(B86&lt;'Умови та класичний графік'!$J$13,IPMT($J$20/12,B87,$J$12,$J$11,0,0),"")</f>
        <v>-14359.506724112325</v>
      </c>
      <c r="L87" s="30">
        <f>IF(B86&lt;'Умови та класичний графік'!$J$13,-(SUM(M87:V87)),"")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>
        <f>IF(B86&lt;'Умови та класичний графік'!$J$13,XIRR($G$34:G87,$C$34:C87,0),"")</f>
        <v>0.28388439941406263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графік'!$J$13,EDATE(C87,1),"")</f>
        <v>45839</v>
      </c>
      <c r="D88" s="36">
        <f>IF(B87&lt;'Умови та класичний графік'!$J$13,C87,"")</f>
        <v>45809</v>
      </c>
      <c r="E88" s="26">
        <f>IF(B87&lt;'Умови та класичний графік'!$J$13,C88-1,"")</f>
        <v>45838</v>
      </c>
      <c r="F88" s="37">
        <f>IF(B87&lt;'Умови та класичний графік'!$J$13,E88-D88+1,"")</f>
        <v>30</v>
      </c>
      <c r="G88" s="104">
        <f>IF(B87&lt;'Умови та класичний графік'!$J$13,-(SUM(J88:L88)),"")</f>
        <v>32043.110145278661</v>
      </c>
      <c r="H88" s="104"/>
      <c r="I88" s="32">
        <f>IF(B87&lt;'Умови та класичний графік'!$J$13,I87+J88,"")</f>
        <v>730141.58421284438</v>
      </c>
      <c r="J88" s="32">
        <f>IF(B87&lt;'Умови та класичний графік'!$J$13,PPMT($J$20/12,B88,$J$12,$J$11,0,0),"")</f>
        <v>-18015.170985313205</v>
      </c>
      <c r="K88" s="32">
        <f>IF(B87&lt;'Умови та класичний графік'!$J$13,IPMT($J$20/12,B88,$J$12,$J$11,0,0),"")</f>
        <v>-14027.939159965455</v>
      </c>
      <c r="L88" s="30">
        <f>IF(B87&lt;'Умови та класичний графік'!$J$13,-(SUM(M88:V88)),"")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>
        <f>IF(B87&lt;'Умови та класичний графік'!$J$13,XIRR($G$34:G88,$C$34:C88,0),"")</f>
        <v>0.28952741699218754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графік'!$J$13,EDATE(C88,1),"")</f>
        <v>45870</v>
      </c>
      <c r="D89" s="36">
        <f>IF(B88&lt;'Умови та класичний графік'!$J$13,C88,"")</f>
        <v>45839</v>
      </c>
      <c r="E89" s="26">
        <f>IF(B88&lt;'Умови та класичний графік'!$J$13,C89-1,"")</f>
        <v>45869</v>
      </c>
      <c r="F89" s="37">
        <f>IF(B88&lt;'Умови та класичний графік'!$J$13,E89-D89+1,"")</f>
        <v>31</v>
      </c>
      <c r="G89" s="104">
        <f>IF(B88&lt;'Умови та класичний графік'!$J$13,-(SUM(J89:L89)),"")</f>
        <v>32043.110145278661</v>
      </c>
      <c r="H89" s="104"/>
      <c r="I89" s="32">
        <f>IF(B88&lt;'Умови та класичний графік'!$J$13,I88+J89,"")</f>
        <v>711788.62877155654</v>
      </c>
      <c r="J89" s="32">
        <f>IF(B88&lt;'Умови та класичний графік'!$J$13,PPMT($J$20/12,B89,$J$12,$J$11,0,0),"")</f>
        <v>-18352.955441287828</v>
      </c>
      <c r="K89" s="32">
        <f>IF(B88&lt;'Умови та класичний графік'!$J$13,IPMT($J$20/12,B89,$J$12,$J$11,0,0),"")</f>
        <v>-13690.154703990831</v>
      </c>
      <c r="L89" s="30">
        <f>IF(B88&lt;'Умови та класичний графік'!$J$13,-(SUM(M89:V89)),"")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>
        <f>IF(B88&lt;'Умови та класичний графік'!$J$13,XIRR($G$34:G89,$C$34:C89,0),"")</f>
        <v>0.29492454589843753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графік'!$J$13,EDATE(C89,1),"")</f>
        <v>45901</v>
      </c>
      <c r="D90" s="36">
        <f>IF(B89&lt;'Умови та класичний графік'!$J$13,C89,"")</f>
        <v>45870</v>
      </c>
      <c r="E90" s="26">
        <f>IF(B89&lt;'Умови та класичний графік'!$J$13,C90-1,"")</f>
        <v>45900</v>
      </c>
      <c r="F90" s="37">
        <f>IF(B89&lt;'Умови та класичний графік'!$J$13,E90-D90+1,"")</f>
        <v>31</v>
      </c>
      <c r="G90" s="104">
        <f>IF(B89&lt;'Умови та класичний графік'!$J$13,-(SUM(J90:L90)),"")</f>
        <v>32043.110145278657</v>
      </c>
      <c r="H90" s="104"/>
      <c r="I90" s="32">
        <f>IF(B89&lt;'Умови та класичний графік'!$J$13,I89+J90,"")</f>
        <v>693091.55541574454</v>
      </c>
      <c r="J90" s="32">
        <f>IF(B89&lt;'Умови та класичний графік'!$J$13,PPMT($J$20/12,B90,$J$12,$J$11,0,0),"")</f>
        <v>-18697.073355811972</v>
      </c>
      <c r="K90" s="32">
        <f>IF(B89&lt;'Умови та класичний графік'!$J$13,IPMT($J$20/12,B90,$J$12,$J$11,0,0),"")</f>
        <v>-13346.036789466685</v>
      </c>
      <c r="L90" s="30">
        <f>IF(B89&lt;'Умови та класичний графік'!$J$13,-(SUM(M90:V90)),"")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>
        <f>IF(B89&lt;'Умови та класичний графік'!$J$13,XIRR($G$34:G90,$C$34:C90,0),"")</f>
        <v>0.30008736816406256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графік'!$J$13,EDATE(C90,1),"")</f>
        <v>45931</v>
      </c>
      <c r="D91" s="36">
        <f>IF(B90&lt;'Умови та класичний графік'!$J$13,C90,"")</f>
        <v>45901</v>
      </c>
      <c r="E91" s="26">
        <f>IF(B90&lt;'Умови та класичний графік'!$J$13,C91-1,"")</f>
        <v>45930</v>
      </c>
      <c r="F91" s="37">
        <f>IF(B90&lt;'Умови та класичний графік'!$J$13,E91-D91+1,"")</f>
        <v>30</v>
      </c>
      <c r="G91" s="104">
        <f>IF(B90&lt;'Умови та класичний графік'!$J$13,-(SUM(J91:L91)),"")</f>
        <v>32043.110145278661</v>
      </c>
      <c r="H91" s="104"/>
      <c r="I91" s="32">
        <f>IF(B90&lt;'Умови та класичний графік'!$J$13,I90+J91,"")</f>
        <v>674043.91193451104</v>
      </c>
      <c r="J91" s="32">
        <f>IF(B90&lt;'Умови та класичний графік'!$J$13,PPMT($J$20/12,B91,$J$12,$J$11,0,0),"")</f>
        <v>-19047.643481233452</v>
      </c>
      <c r="K91" s="32">
        <f>IF(B90&lt;'Умови та класичний графік'!$J$13,IPMT($J$20/12,B91,$J$12,$J$11,0,0),"")</f>
        <v>-12995.466664045207</v>
      </c>
      <c r="L91" s="30">
        <f>IF(B90&lt;'Умови та класичний графік'!$J$13,-(SUM(M91:V91)),"")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>
        <f>IF(B90&lt;'Умови та класичний графік'!$J$13,XIRR($G$34:G91,$C$34:C91,0),"")</f>
        <v>0.30503047363281255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графік'!$J$13,EDATE(C91,1),"")</f>
        <v>45962</v>
      </c>
      <c r="D92" s="36">
        <f>IF(B91&lt;'Умови та класичний графік'!$J$13,C91,"")</f>
        <v>45931</v>
      </c>
      <c r="E92" s="26">
        <f>IF(B91&lt;'Умови та класичний графік'!$J$13,C92-1,"")</f>
        <v>45961</v>
      </c>
      <c r="F92" s="37">
        <f>IF(B91&lt;'Умови та класичний графік'!$J$13,E92-D92+1,"")</f>
        <v>31</v>
      </c>
      <c r="G92" s="104">
        <f>IF(B91&lt;'Умови та класичний графік'!$J$13,-(SUM(J92:L92)),"")</f>
        <v>32043.110145278653</v>
      </c>
      <c r="H92" s="104"/>
      <c r="I92" s="32">
        <f>IF(B91&lt;'Умови та класичний графік'!$J$13,I91+J92,"")</f>
        <v>654639.12513800443</v>
      </c>
      <c r="J92" s="32">
        <f>IF(B91&lt;'Умови та класичний графік'!$J$13,PPMT($J$20/12,B92,$J$12,$J$11,0,0),"")</f>
        <v>-19404.786796506574</v>
      </c>
      <c r="K92" s="32">
        <f>IF(B91&lt;'Умови та класичний графік'!$J$13,IPMT($J$20/12,B92,$J$12,$J$11,0,0),"")</f>
        <v>-12638.323348772081</v>
      </c>
      <c r="L92" s="30">
        <f>IF(B91&lt;'Умови та класичний графік'!$J$13,-(SUM(M92:V92)),"")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графік'!$J$13,XIRR($G$34:G92,$C$34:C92,0),"")</f>
        <v>0.3097607177734375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графік'!$J$13,EDATE(C92,1),"")</f>
        <v>45992</v>
      </c>
      <c r="D93" s="36">
        <f>IF(B92&lt;'Умови та класичний графік'!$J$13,C92,"")</f>
        <v>45962</v>
      </c>
      <c r="E93" s="26">
        <f>IF(B92&lt;'Умови та класичний графік'!$J$13,C93-1,"")</f>
        <v>45991</v>
      </c>
      <c r="F93" s="37">
        <f>IF(B92&lt;'Умови та класичний графік'!$J$13,E93-D93+1,"")</f>
        <v>30</v>
      </c>
      <c r="G93" s="104">
        <f>IF(B92&lt;'Умови та класичний графік'!$J$13,-(SUM(J93:L93)),"")</f>
        <v>32043.110145278661</v>
      </c>
      <c r="H93" s="104"/>
      <c r="I93" s="32">
        <f>IF(B92&lt;'Умови та класичний графік'!$J$13,I92+J93,"")</f>
        <v>634870.4985890633</v>
      </c>
      <c r="J93" s="32">
        <f>IF(B92&lt;'Умови та класичний графік'!$J$13,PPMT($J$20/12,B93,$J$12,$J$11,0,0),"")</f>
        <v>-19768.62654894108</v>
      </c>
      <c r="K93" s="32">
        <f>IF(B92&lt;'Умови та класичний графік'!$J$13,IPMT($J$20/12,B93,$J$12,$J$11,0,0),"")</f>
        <v>-12274.483596337583</v>
      </c>
      <c r="L93" s="30">
        <f>IF(B92&lt;'Умови та класичний графік'!$J$13,-(SUM(M93:V93)),"")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>
        <f>IF(B92&lt;'Умови та класичний графік'!$J$13,XIRR($G$34:G93,$C$34:C93,0),"")</f>
        <v>0.31429147949218761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графік'!$J$13,EDATE(C93,1),"")</f>
        <v>46023</v>
      </c>
      <c r="D94" s="36">
        <f>IF(B93&lt;'Умови та класичний графік'!$J$13,C93,"")</f>
        <v>45992</v>
      </c>
      <c r="E94" s="26">
        <f>IF(B93&lt;'Умови та класичний графік'!$J$13,C94-1,"")</f>
        <v>46022</v>
      </c>
      <c r="F94" s="37">
        <f>IF(B93&lt;'Умови та класичний графік'!$J$13,E94-D94+1,"")</f>
        <v>31</v>
      </c>
      <c r="G94" s="104">
        <f>IF(B93&lt;'Умови та класичний графік'!$J$13,-(SUM(J94:L94)),"")</f>
        <v>124500.25300242151</v>
      </c>
      <c r="H94" s="104"/>
      <c r="I94" s="32">
        <f>IF(B93&lt;'Умови та класичний графік'!$J$13,I93+J94,"")</f>
        <v>614731.21029232955</v>
      </c>
      <c r="J94" s="32">
        <f>IF(B93&lt;'Умови та класичний графік'!$J$13,PPMT($J$20/12,B94,$J$12,$J$11,0,0),"")</f>
        <v>-20139.288296733717</v>
      </c>
      <c r="K94" s="32">
        <f>IF(B93&lt;'Умови та класичний графік'!$J$13,IPMT($J$20/12,B94,$J$12,$J$11,0,0),"")</f>
        <v>-11903.821848544938</v>
      </c>
      <c r="L94" s="30">
        <f>IF(B93&lt;'Умови та класичний графік'!$J$13,-(SUM(M94:V94)),"")</f>
        <v>-92457.142857142855</v>
      </c>
      <c r="M94" s="38"/>
      <c r="N94" s="39"/>
      <c r="O94" s="39"/>
      <c r="P94" s="32"/>
      <c r="Q94" s="40"/>
      <c r="R94" s="40"/>
      <c r="S94" s="41"/>
      <c r="T94" s="41"/>
      <c r="U94" s="33">
        <f>'Умови та класичний графік'!U96</f>
        <v>92457.142857142855</v>
      </c>
      <c r="V94" s="41"/>
      <c r="W94" s="43">
        <f>IF(B93&lt;'Умови та класичний графік'!$J$13,XIRR($G$34:G94,$C$34:C94,0),"")</f>
        <v>0.33067869628906255</v>
      </c>
      <c r="X94" s="42"/>
      <c r="Y94" s="35"/>
    </row>
    <row r="95" spans="2:25" x14ac:dyDescent="0.2">
      <c r="B95" s="25">
        <v>61</v>
      </c>
      <c r="C95" s="36">
        <f>IF(B94&lt;'Умови та класичний графік'!$J$13,EDATE(C94,1),"")</f>
        <v>46054</v>
      </c>
      <c r="D95" s="36">
        <f>IF(B94&lt;'Умови та класичний графік'!$J$13,C94,"")</f>
        <v>46023</v>
      </c>
      <c r="E95" s="26">
        <f>IF(B94&lt;'Умови та класичний графік'!$J$13,C95-1,"")</f>
        <v>46053</v>
      </c>
      <c r="F95" s="37">
        <f>IF(B94&lt;'Умови та класичний графік'!$J$13,E95-D95+1,"")</f>
        <v>31</v>
      </c>
      <c r="G95" s="104">
        <f>IF(B94&lt;'Умови та класичний графік'!$J$13,-(SUM(J95:L95)),"")</f>
        <v>32043.110145278664</v>
      </c>
      <c r="H95" s="104"/>
      <c r="I95" s="32">
        <f>IF(B94&lt;'Умови та класичний графік'!$J$13,I94+J95,"")</f>
        <v>594214.3103400321</v>
      </c>
      <c r="J95" s="32">
        <f>IF(B94&lt;'Умови та класичний графік'!$J$13,PPMT($J$20/12,B95,$J$12,$J$11,0,0),"")</f>
        <v>-20516.899952297481</v>
      </c>
      <c r="K95" s="32">
        <f>IF(B94&lt;'Умови та класичний графік'!$J$13,IPMT($J$20/12,B95,$J$12,$J$11,0,0),"")</f>
        <v>-11526.210192981183</v>
      </c>
      <c r="L95" s="30">
        <f>IF(B94&lt;'Умови та класичний графік'!$J$13,-(SUM(M95:V95)),"")</f>
        <v>0</v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>
        <f>IF(B94&lt;'Умови та класичний графік'!$J$13,XIRR($G$34:G95,$C$34:C95,0),"")</f>
        <v>0.33460859863281256</v>
      </c>
      <c r="X95" s="42"/>
      <c r="Y95" s="35"/>
    </row>
    <row r="96" spans="2:25" x14ac:dyDescent="0.2">
      <c r="B96" s="25">
        <v>62</v>
      </c>
      <c r="C96" s="36">
        <f>IF(B95&lt;'Умови та класичний графік'!$J$13,EDATE(C95,1),"")</f>
        <v>46082</v>
      </c>
      <c r="D96" s="36">
        <f>IF(B95&lt;'Умови та класичний графік'!$J$13,C95,"")</f>
        <v>46054</v>
      </c>
      <c r="E96" s="26">
        <f>IF(B95&lt;'Умови та класичний графік'!$J$13,C96-1,"")</f>
        <v>46081</v>
      </c>
      <c r="F96" s="37">
        <f>IF(B95&lt;'Умови та класичний графік'!$J$13,E96-D96+1,"")</f>
        <v>28</v>
      </c>
      <c r="G96" s="104">
        <f>IF(B95&lt;'Умови та класичний графік'!$J$13,-(SUM(J96:L96)),"")</f>
        <v>32043.110145278661</v>
      </c>
      <c r="H96" s="104"/>
      <c r="I96" s="32">
        <f>IF(B95&lt;'Умови та класичний графік'!$J$13,I95+J96,"")</f>
        <v>573312.71851362905</v>
      </c>
      <c r="J96" s="32">
        <f>IF(B95&lt;'Умови та класичний графік'!$J$13,PPMT($J$20/12,B96,$J$12,$J$11,0,0),"")</f>
        <v>-20901.591826403055</v>
      </c>
      <c r="K96" s="32">
        <f>IF(B95&lt;'Умови та класичний графік'!$J$13,IPMT($J$20/12,B96,$J$12,$J$11,0,0),"")</f>
        <v>-11141.518318875604</v>
      </c>
      <c r="L96" s="30">
        <f>IF(B95&lt;'Умови та класичний графік'!$J$13,-(SUM(M96:V96)),"")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>
        <f>IF(B95&lt;'Умови та класичний графік'!$J$13,XIRR($G$34:G96,$C$34:C96,0),"")</f>
        <v>0.33838376464843745</v>
      </c>
      <c r="X96" s="42"/>
      <c r="Y96" s="35"/>
    </row>
    <row r="97" spans="2:25" x14ac:dyDescent="0.2">
      <c r="B97" s="25">
        <v>63</v>
      </c>
      <c r="C97" s="36">
        <f>IF(B96&lt;'Умови та класичний графік'!$J$13,EDATE(C96,1),"")</f>
        <v>46113</v>
      </c>
      <c r="D97" s="36">
        <f>IF(B96&lt;'Умови та класичний графік'!$J$13,C96,"")</f>
        <v>46082</v>
      </c>
      <c r="E97" s="26">
        <f>IF(B96&lt;'Умови та класичний графік'!$J$13,C97-1,"")</f>
        <v>46112</v>
      </c>
      <c r="F97" s="37">
        <f>IF(B96&lt;'Умови та класичний графік'!$J$13,E97-D97+1,"")</f>
        <v>31</v>
      </c>
      <c r="G97" s="104">
        <f>IF(B96&lt;'Умови та класичний графік'!$J$13,-(SUM(J97:L97)),"")</f>
        <v>32043.110145278661</v>
      </c>
      <c r="H97" s="104"/>
      <c r="I97" s="32">
        <f>IF(B96&lt;'Умови та класичний графік'!$J$13,I96+J97,"")</f>
        <v>552019.22184048092</v>
      </c>
      <c r="J97" s="32">
        <f>IF(B96&lt;'Умови та класичний графік'!$J$13,PPMT($J$20/12,B97,$J$12,$J$11,0,0),"")</f>
        <v>-21293.496673148114</v>
      </c>
      <c r="K97" s="32">
        <f>IF(B96&lt;'Умови та класичний графік'!$J$13,IPMT($J$20/12,B97,$J$12,$J$11,0,0),"")</f>
        <v>-10749.613472130546</v>
      </c>
      <c r="L97" s="30">
        <f>IF(B96&lt;'Умови та класичний графік'!$J$13,-(SUM(M97:V97)),"")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>
        <f>IF(B96&lt;'Умови та класичний графік'!$J$13,XIRR($G$34:G97,$C$34:C97,0),"")</f>
        <v>0.34200228027343749</v>
      </c>
      <c r="X97" s="42"/>
      <c r="Y97" s="35"/>
    </row>
    <row r="98" spans="2:25" x14ac:dyDescent="0.2">
      <c r="B98" s="25">
        <v>64</v>
      </c>
      <c r="C98" s="36">
        <f>IF(B97&lt;'Умови та класичний графік'!$J$13,EDATE(C97,1),"")</f>
        <v>46143</v>
      </c>
      <c r="D98" s="36">
        <f>IF(B97&lt;'Умови та класичний графік'!$J$13,C97,"")</f>
        <v>46113</v>
      </c>
      <c r="E98" s="26">
        <f>IF(B97&lt;'Умови та класичний графік'!$J$13,C98-1,"")</f>
        <v>46142</v>
      </c>
      <c r="F98" s="37">
        <f>IF(B97&lt;'Умови та класичний графік'!$J$13,E98-D98+1,"")</f>
        <v>30</v>
      </c>
      <c r="G98" s="104">
        <f>IF(B97&lt;'Умови та класичний графік'!$J$13,-(SUM(J98:L98)),"")</f>
        <v>32043.110145278661</v>
      </c>
      <c r="H98" s="104"/>
      <c r="I98" s="32">
        <f>IF(B97&lt;'Умови та класичний графік'!$J$13,I97+J98,"")</f>
        <v>530326.47210471123</v>
      </c>
      <c r="J98" s="32">
        <f>IF(B97&lt;'Умови та класичний графік'!$J$13,PPMT($J$20/12,B98,$J$12,$J$11,0,0),"")</f>
        <v>-21692.749735769641</v>
      </c>
      <c r="K98" s="32">
        <f>IF(B97&lt;'Умови та класичний графік'!$J$13,IPMT($J$20/12,B98,$J$12,$J$11,0,0),"")</f>
        <v>-10350.36040950902</v>
      </c>
      <c r="L98" s="30">
        <f>IF(B97&lt;'Умови та класичний графік'!$J$13,-(SUM(M98:V98)),"")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>
        <f>IF(B97&lt;'Умови та класичний графік'!$J$13,XIRR($G$34:G98,$C$34:C98,0),"")</f>
        <v>0.34547401855468751</v>
      </c>
      <c r="X98" s="42"/>
      <c r="Y98" s="35"/>
    </row>
    <row r="99" spans="2:25" x14ac:dyDescent="0.2">
      <c r="B99" s="25">
        <v>65</v>
      </c>
      <c r="C99" s="36">
        <f>IF(B98&lt;'Умови та класичний графік'!$J$13,EDATE(C98,1),"")</f>
        <v>46174</v>
      </c>
      <c r="D99" s="36">
        <f>IF(B98&lt;'Умови та класичний графік'!$J$13,C98,"")</f>
        <v>46143</v>
      </c>
      <c r="E99" s="26">
        <f>IF(B98&lt;'Умови та класичний графік'!$J$13,C99-1,"")</f>
        <v>46173</v>
      </c>
      <c r="F99" s="37">
        <f>IF(B98&lt;'Умови та класичний графік'!$J$13,E99-D99+1,"")</f>
        <v>31</v>
      </c>
      <c r="G99" s="104">
        <f>IF(B98&lt;'Умови та класичний графік'!$J$13,-(SUM(J99:L99)),"")</f>
        <v>32043.110145278668</v>
      </c>
      <c r="H99" s="104"/>
      <c r="I99" s="32">
        <f>IF(B98&lt;'Умови та класичний графік'!$J$13,I98+J99,"")</f>
        <v>508226.98331139592</v>
      </c>
      <c r="J99" s="32">
        <f>IF(B98&lt;'Умови та класичний графік'!$J$13,PPMT($J$20/12,B99,$J$12,$J$11,0,0),"")</f>
        <v>-22099.488793315326</v>
      </c>
      <c r="K99" s="32">
        <f>IF(B98&lt;'Умови та класичний графік'!$J$13,IPMT($J$20/12,B99,$J$12,$J$11,0,0),"")</f>
        <v>-9943.6213519633402</v>
      </c>
      <c r="L99" s="30">
        <f>IF(B98&lt;'Умови та класичний графік'!$J$13,-(SUM(M99:V99)),"")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>
        <f>IF(B98&lt;'Умови та класичний графік'!$J$13,XIRR($G$34:G99,$C$34:C99,0),"")</f>
        <v>0.34880282714843747</v>
      </c>
      <c r="X99" s="42"/>
      <c r="Y99" s="35"/>
    </row>
    <row r="100" spans="2:25" x14ac:dyDescent="0.2">
      <c r="B100" s="25">
        <v>66</v>
      </c>
      <c r="C100" s="36">
        <f>IF(B99&lt;'Умови та класичний графік'!$J$13,EDATE(C99,1),"")</f>
        <v>46204</v>
      </c>
      <c r="D100" s="36">
        <f>IF(B99&lt;'Умови та класичний графік'!$J$13,C99,"")</f>
        <v>46174</v>
      </c>
      <c r="E100" s="26">
        <f>IF(B99&lt;'Умови та класичний графік'!$J$13,C100-1,"")</f>
        <v>46203</v>
      </c>
      <c r="F100" s="37">
        <f>IF(B99&lt;'Умови та класичний графік'!$J$13,E100-D100+1,"")</f>
        <v>30</v>
      </c>
      <c r="G100" s="104">
        <f>IF(B99&lt;'Умови та класичний графік'!$J$13,-(SUM(J100:L100)),"")</f>
        <v>32043.110145278661</v>
      </c>
      <c r="H100" s="104"/>
      <c r="I100" s="32">
        <f>IF(B99&lt;'Умови та класичний графік'!$J$13,I99+J100,"")</f>
        <v>485713.12910320592</v>
      </c>
      <c r="J100" s="32">
        <f>IF(B99&lt;'Умови та класичний графік'!$J$13,PPMT($J$20/12,B100,$J$12,$J$11,0,0),"")</f>
        <v>-22513.854208189983</v>
      </c>
      <c r="K100" s="32">
        <f>IF(B99&lt;'Умови та класичний графік'!$J$13,IPMT($J$20/12,B100,$J$12,$J$11,0,0),"")</f>
        <v>-9529.2559370886756</v>
      </c>
      <c r="L100" s="30">
        <f>IF(B99&lt;'Умови та класичний графік'!$J$13,-(SUM(M100:V100)),"")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>
        <f>IF(B99&lt;'Умови та класичний графік'!$J$13,XIRR($G$34:G100,$C$34:C100,0),"")</f>
        <v>0.35199776855468756</v>
      </c>
      <c r="X100" s="42"/>
      <c r="Y100" s="35"/>
    </row>
    <row r="101" spans="2:25" x14ac:dyDescent="0.2">
      <c r="B101" s="25">
        <v>67</v>
      </c>
      <c r="C101" s="36">
        <f>IF(B100&lt;'Умови та класичний графік'!$J$13,EDATE(C100,1),"")</f>
        <v>46235</v>
      </c>
      <c r="D101" s="36">
        <f>IF(B100&lt;'Умови та класичний графік'!$J$13,C100,"")</f>
        <v>46204</v>
      </c>
      <c r="E101" s="26">
        <f>IF(B100&lt;'Умови та класичний графік'!$J$13,C101-1,"")</f>
        <v>46234</v>
      </c>
      <c r="F101" s="37">
        <f>IF(B100&lt;'Умови та класичний графік'!$J$13,E101-D101+1,"")</f>
        <v>31</v>
      </c>
      <c r="G101" s="104">
        <f>IF(B100&lt;'Умови та класичний графік'!$J$13,-(SUM(J101:L101)),"")</f>
        <v>32043.110145278661</v>
      </c>
      <c r="H101" s="104"/>
      <c r="I101" s="32">
        <f>IF(B100&lt;'Умови та класичний графік'!$J$13,I100+J101,"")</f>
        <v>462777.1401286124</v>
      </c>
      <c r="J101" s="32">
        <f>IF(B100&lt;'Умови та класичний графік'!$J$13,PPMT($J$20/12,B101,$J$12,$J$11,0,0),"")</f>
        <v>-22935.988974593547</v>
      </c>
      <c r="K101" s="32">
        <f>IF(B100&lt;'Умови та класичний графік'!$J$13,IPMT($J$20/12,B101,$J$12,$J$11,0,0),"")</f>
        <v>-9107.1211706851136</v>
      </c>
      <c r="L101" s="30">
        <f>IF(B100&lt;'Умови та класичний графік'!$J$13,-(SUM(M101:V101)),"")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>
        <f>IF(B100&lt;'Умови та класичний графік'!$J$13,XIRR($G$34:G101,$C$34:C101,0),"")</f>
        <v>0.35506226074218761</v>
      </c>
      <c r="X101" s="42"/>
      <c r="Y101" s="35"/>
    </row>
    <row r="102" spans="2:25" x14ac:dyDescent="0.2">
      <c r="B102" s="25">
        <v>68</v>
      </c>
      <c r="C102" s="36">
        <f>IF(B101&lt;'Умови та класичний графік'!$J$13,EDATE(C101,1),"")</f>
        <v>46266</v>
      </c>
      <c r="D102" s="36">
        <f>IF(B101&lt;'Умови та класичний графік'!$J$13,C101,"")</f>
        <v>46235</v>
      </c>
      <c r="E102" s="26">
        <f>IF(B101&lt;'Умови та класичний графік'!$J$13,C102-1,"")</f>
        <v>46265</v>
      </c>
      <c r="F102" s="37">
        <f>IF(B101&lt;'Умови та класичний графік'!$J$13,E102-D102+1,"")</f>
        <v>31</v>
      </c>
      <c r="G102" s="104">
        <f>IF(B101&lt;'Умови та класичний графік'!$J$13,-(SUM(J102:L102)),"")</f>
        <v>32043.110145278661</v>
      </c>
      <c r="H102" s="104"/>
      <c r="I102" s="32">
        <f>IF(B101&lt;'Умови та класичний графік'!$J$13,I101+J102,"")</f>
        <v>439411.1013607452</v>
      </c>
      <c r="J102" s="32">
        <f>IF(B101&lt;'Умови та класичний графік'!$J$13,PPMT($J$20/12,B102,$J$12,$J$11,0,0),"")</f>
        <v>-23366.038767867176</v>
      </c>
      <c r="K102" s="32">
        <f>IF(B101&lt;'Умови та класичний графік'!$J$13,IPMT($J$20/12,B102,$J$12,$J$11,0,0),"")</f>
        <v>-8677.0713774114847</v>
      </c>
      <c r="L102" s="30">
        <f>IF(B101&lt;'Умови та класичний графік'!$J$13,-(SUM(M102:V102)),"")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>
        <f>IF(B101&lt;'Умови та класичний графік'!$J$13,XIRR($G$34:G102,$C$34:C102,0),"")</f>
        <v>0.3580021533203126</v>
      </c>
      <c r="X102" s="42"/>
      <c r="Y102" s="35"/>
    </row>
    <row r="103" spans="2:25" x14ac:dyDescent="0.2">
      <c r="B103" s="25">
        <v>69</v>
      </c>
      <c r="C103" s="36">
        <f>IF(B102&lt;'Умови та класичний графік'!$J$13,EDATE(C102,1),"")</f>
        <v>46296</v>
      </c>
      <c r="D103" s="36">
        <f>IF(B102&lt;'Умови та класичний графік'!$J$13,C102,"")</f>
        <v>46266</v>
      </c>
      <c r="E103" s="26">
        <f>IF(B102&lt;'Умови та класичний графік'!$J$13,C103-1,"")</f>
        <v>46295</v>
      </c>
      <c r="F103" s="37">
        <f>IF(B102&lt;'Умови та класичний графік'!$J$13,E103-D103+1,"")</f>
        <v>30</v>
      </c>
      <c r="G103" s="104">
        <f>IF(B102&lt;'Умови та класичний графік'!$J$13,-(SUM(J103:L103)),"")</f>
        <v>32043.110145278661</v>
      </c>
      <c r="H103" s="104"/>
      <c r="I103" s="32">
        <f>IF(B102&lt;'Умови та класичний графік'!$J$13,I102+J103,"")</f>
        <v>415606.94936598052</v>
      </c>
      <c r="J103" s="32">
        <f>IF(B102&lt;'Умови та класичний графік'!$J$13,PPMT($J$20/12,B103,$J$12,$J$11,0,0),"")</f>
        <v>-23804.151994764685</v>
      </c>
      <c r="K103" s="32">
        <f>IF(B102&lt;'Умови та класичний графік'!$J$13,IPMT($J$20/12,B103,$J$12,$J$11,0,0),"")</f>
        <v>-8238.9581505139759</v>
      </c>
      <c r="L103" s="30">
        <f>IF(B102&lt;'Умови та класичний графік'!$J$13,-(SUM(M103:V103)),"")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>
        <f>IF(B102&lt;'Умови та класичний графік'!$J$13,XIRR($G$34:G103,$C$34:C103,0),"")</f>
        <v>0.36082537597656261</v>
      </c>
      <c r="X103" s="42"/>
      <c r="Y103" s="35"/>
    </row>
    <row r="104" spans="2:25" x14ac:dyDescent="0.2">
      <c r="B104" s="25">
        <v>70</v>
      </c>
      <c r="C104" s="36">
        <f>IF(B103&lt;'Умови та класичний графік'!$J$13,EDATE(C103,1),"")</f>
        <v>46327</v>
      </c>
      <c r="D104" s="36">
        <f>IF(B103&lt;'Умови та класичний графік'!$J$13,C103,"")</f>
        <v>46296</v>
      </c>
      <c r="E104" s="26">
        <f>IF(B103&lt;'Умови та класичний графік'!$J$13,C104-1,"")</f>
        <v>46326</v>
      </c>
      <c r="F104" s="37">
        <f>IF(B103&lt;'Умови та класичний графік'!$J$13,E104-D104+1,"")</f>
        <v>31</v>
      </c>
      <c r="G104" s="104">
        <f>IF(B103&lt;'Умови та класичний графік'!$J$13,-(SUM(J104:L104)),"")</f>
        <v>32043.110145278661</v>
      </c>
      <c r="H104" s="104"/>
      <c r="I104" s="32">
        <f>IF(B103&lt;'Умови та класичний графік'!$J$13,I103+J104,"")</f>
        <v>391356.46952131402</v>
      </c>
      <c r="J104" s="32">
        <f>IF(B103&lt;'Умови та класичний графік'!$J$13,PPMT($J$20/12,B104,$J$12,$J$11,0,0),"")</f>
        <v>-24250.479844666523</v>
      </c>
      <c r="K104" s="32">
        <f>IF(B103&lt;'Умови та класичний графік'!$J$13,IPMT($J$20/12,B104,$J$12,$J$11,0,0),"")</f>
        <v>-7792.6303006121379</v>
      </c>
      <c r="L104" s="30">
        <f>IF(B103&lt;'Умови та класичний графік'!$J$13,-(SUM(M104:V104)),"")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>
        <f>IF(B103&lt;'Умови та класичний графік'!$J$13,XIRR($G$34:G104,$C$34:C104,0),"")</f>
        <v>0.36353479980468761</v>
      </c>
      <c r="X104" s="42"/>
      <c r="Y104" s="35"/>
    </row>
    <row r="105" spans="2:25" x14ac:dyDescent="0.2">
      <c r="B105" s="25">
        <v>71</v>
      </c>
      <c r="C105" s="36">
        <f>IF(B104&lt;'Умови та класичний графік'!$J$13,EDATE(C104,1),"")</f>
        <v>46357</v>
      </c>
      <c r="D105" s="36">
        <f>IF(B104&lt;'Умови та класичний графік'!$J$13,C104,"")</f>
        <v>46327</v>
      </c>
      <c r="E105" s="26">
        <f>IF(B104&lt;'Умови та класичний графік'!$J$13,C105-1,"")</f>
        <v>46356</v>
      </c>
      <c r="F105" s="37">
        <f>IF(B104&lt;'Умови та класичний графік'!$J$13,E105-D105+1,"")</f>
        <v>30</v>
      </c>
      <c r="G105" s="104">
        <f>IF(B104&lt;'Умови та класичний графік'!$J$13,-(SUM(J105:L105)),"")</f>
        <v>32043.110145278661</v>
      </c>
      <c r="H105" s="104"/>
      <c r="I105" s="32">
        <f>IF(B104&lt;'Умови та класичний графік'!$J$13,I104+J105,"")</f>
        <v>366651.29317955999</v>
      </c>
      <c r="J105" s="32">
        <f>IF(B104&lt;'Умови та класичний графік'!$J$13,PPMT($J$20/12,B105,$J$12,$J$11,0,0),"")</f>
        <v>-24705.176341754021</v>
      </c>
      <c r="K105" s="32">
        <f>IF(B104&lt;'Умови та класичний графік'!$J$13,IPMT($J$20/12,B105,$J$12,$J$11,0,0),"")</f>
        <v>-7337.9338035246401</v>
      </c>
      <c r="L105" s="30">
        <f>IF(B104&lt;'Умови та класичний графік'!$J$13,-(SUM(M105:V105)),"")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>
        <f>IF(B104&lt;'Умови та класичний графік'!$J$13,XIRR($G$34:G105,$C$34:C105,0),"")</f>
        <v>0.36613768066406249</v>
      </c>
      <c r="X105" s="42"/>
      <c r="Y105" s="35"/>
    </row>
    <row r="106" spans="2:25" x14ac:dyDescent="0.2">
      <c r="B106" s="25">
        <v>72</v>
      </c>
      <c r="C106" s="36">
        <f>IF(B105&lt;'Умови та класичний графік'!$J$13,EDATE(C105,1),"")</f>
        <v>46388</v>
      </c>
      <c r="D106" s="36">
        <f>IF(B105&lt;'Умови та класичний графік'!$J$13,C105,"")</f>
        <v>46357</v>
      </c>
      <c r="E106" s="26">
        <f>IF(B105&lt;'Умови та класичний графік'!$J$13,C106-1,"")</f>
        <v>46387</v>
      </c>
      <c r="F106" s="37">
        <f>IF(B105&lt;'Умови та класичний графік'!$J$13,E106-D106+1,"")</f>
        <v>31</v>
      </c>
      <c r="G106" s="104">
        <f>IF(B105&lt;'Умови та класичний графік'!$J$13,-(SUM(J106:L106)),"")</f>
        <v>123921.6815738501</v>
      </c>
      <c r="H106" s="104"/>
      <c r="I106" s="32">
        <f>IF(B105&lt;'Умови та класичний графік'!$J$13,I105+J106,"")</f>
        <v>341482.89478139806</v>
      </c>
      <c r="J106" s="32">
        <f>IF(B105&lt;'Умови та класичний графік'!$J$13,PPMT($J$20/12,B106,$J$12,$J$11,0,0),"")</f>
        <v>-25168.398398161909</v>
      </c>
      <c r="K106" s="32">
        <f>IF(B105&lt;'Умови та класичний графік'!$J$13,IPMT($J$20/12,B106,$J$12,$J$11,0,0),"")</f>
        <v>-6874.7117471167521</v>
      </c>
      <c r="L106" s="30">
        <f>IF(B105&lt;'Умови та класичний графік'!$J$13,-(SUM(M106:V106)),"")</f>
        <v>-91878.571428571435</v>
      </c>
      <c r="M106" s="38"/>
      <c r="N106" s="39"/>
      <c r="O106" s="39"/>
      <c r="P106" s="32"/>
      <c r="Q106" s="40"/>
      <c r="R106" s="40"/>
      <c r="S106" s="41"/>
      <c r="T106" s="41"/>
      <c r="U106" s="33">
        <f>'Умови та класичний графік'!U108</f>
        <v>91878.571428571435</v>
      </c>
      <c r="V106" s="41"/>
      <c r="W106" s="43">
        <f>IF(B105&lt;'Умови та класичний графік'!$J$13,XIRR($G$34:G106,$C$34:C106,0),"")</f>
        <v>0.37561303222656262</v>
      </c>
      <c r="X106" s="42"/>
      <c r="Y106" s="35"/>
    </row>
    <row r="107" spans="2:25" x14ac:dyDescent="0.2">
      <c r="B107" s="25">
        <v>73</v>
      </c>
      <c r="C107" s="36">
        <f>IF(B106&lt;'Умови та класичний графік'!$J$13,EDATE(C106,1),"")</f>
        <v>46419</v>
      </c>
      <c r="D107" s="36">
        <f>IF(B106&lt;'Умови та класичний графік'!$J$13,C106,"")</f>
        <v>46388</v>
      </c>
      <c r="E107" s="26">
        <f>IF(B106&lt;'Умови та класичний графік'!$J$13,C107-1,"")</f>
        <v>46418</v>
      </c>
      <c r="F107" s="37">
        <f>IF(B106&lt;'Умови та класичний графік'!$J$13,E107-D107+1,"")</f>
        <v>31</v>
      </c>
      <c r="G107" s="104">
        <f>IF(B106&lt;'Умови та класичний графік'!$J$13,-(SUM(J107:L107)),"")</f>
        <v>32043.110145278657</v>
      </c>
      <c r="H107" s="104"/>
      <c r="I107" s="32">
        <f>IF(B106&lt;'Умови та класичний графік'!$J$13,I106+J107,"")</f>
        <v>315842.58891327062</v>
      </c>
      <c r="J107" s="32">
        <f>IF(B106&lt;'Умови та класичний графік'!$J$13,PPMT($J$20/12,B107,$J$12,$J$11,0,0),"")</f>
        <v>-25640.305868127441</v>
      </c>
      <c r="K107" s="32">
        <f>IF(B106&lt;'Умови та класичний графік'!$J$13,IPMT($J$20/12,B107,$J$12,$J$11,0,0),"")</f>
        <v>-6402.8042771512164</v>
      </c>
      <c r="L107" s="30">
        <f>IF(B106&lt;'Умови та класичний графік'!$J$13,-(SUM(M107:V107)),"")</f>
        <v>0</v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>
        <f>IF(B106&lt;'Умови та класичний графік'!$J$13,XIRR($G$34:G107,$C$34:C107,0),"")</f>
        <v>0.37792043457031266</v>
      </c>
      <c r="X107" s="42"/>
      <c r="Y107" s="35"/>
    </row>
    <row r="108" spans="2:25" x14ac:dyDescent="0.2">
      <c r="B108" s="25">
        <v>74</v>
      </c>
      <c r="C108" s="36">
        <f>IF(B107&lt;'Умови та класичний графік'!$J$13,EDATE(C107,1),"")</f>
        <v>46447</v>
      </c>
      <c r="D108" s="36">
        <f>IF(B107&lt;'Умови та класичний графік'!$J$13,C107,"")</f>
        <v>46419</v>
      </c>
      <c r="E108" s="26">
        <f>IF(B107&lt;'Умови та класичний графік'!$J$13,C108-1,"")</f>
        <v>46446</v>
      </c>
      <c r="F108" s="37">
        <f>IF(B107&lt;'Умови та класичний графік'!$J$13,E108-D108+1,"")</f>
        <v>28</v>
      </c>
      <c r="G108" s="104">
        <f>IF(B107&lt;'Умови та класичний графік'!$J$13,-(SUM(J108:L108)),"")</f>
        <v>32043.110145278661</v>
      </c>
      <c r="H108" s="104"/>
      <c r="I108" s="32">
        <f>IF(B107&lt;'Умови та класичний графік'!$J$13,I107+J108,"")</f>
        <v>289721.52731011581</v>
      </c>
      <c r="J108" s="32">
        <f>IF(B107&lt;'Умови та класичний графік'!$J$13,PPMT($J$20/12,B108,$J$12,$J$11,0,0),"")</f>
        <v>-26121.061603154834</v>
      </c>
      <c r="K108" s="32">
        <f>IF(B107&lt;'Умови та класичний графік'!$J$13,IPMT($J$20/12,B108,$J$12,$J$11,0,0),"")</f>
        <v>-5922.0485421238282</v>
      </c>
      <c r="L108" s="30">
        <f>IF(B107&lt;'Умови та класичний графік'!$J$13,-(SUM(M108:V108)),"")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>
        <f>IF(B107&lt;'Умови та класичний графік'!$J$13,XIRR($G$34:G108,$C$34:C108,0),"")</f>
        <v>0.38014286621093762</v>
      </c>
      <c r="X108" s="42"/>
      <c r="Y108" s="35"/>
    </row>
    <row r="109" spans="2:25" x14ac:dyDescent="0.2">
      <c r="B109" s="25">
        <v>75</v>
      </c>
      <c r="C109" s="36">
        <f>IF(B108&lt;'Умови та класичний графік'!$J$13,EDATE(C108,1),"")</f>
        <v>46478</v>
      </c>
      <c r="D109" s="36">
        <f>IF(B108&lt;'Умови та класичний графік'!$J$13,C108,"")</f>
        <v>46447</v>
      </c>
      <c r="E109" s="26">
        <f>IF(B108&lt;'Умови та класичний графік'!$J$13,C109-1,"")</f>
        <v>46477</v>
      </c>
      <c r="F109" s="37">
        <f>IF(B108&lt;'Умови та класичний графік'!$J$13,E109-D109+1,"")</f>
        <v>31</v>
      </c>
      <c r="G109" s="104">
        <f>IF(B108&lt;'Умови та класичний графік'!$J$13,-(SUM(J109:L109)),"")</f>
        <v>32043.110145278661</v>
      </c>
      <c r="H109" s="104"/>
      <c r="I109" s="32">
        <f>IF(B108&lt;'Умови та класичний графік'!$J$13,I108+J109,"")</f>
        <v>263110.69580190181</v>
      </c>
      <c r="J109" s="32">
        <f>IF(B108&lt;'Умови та класичний графік'!$J$13,PPMT($J$20/12,B109,$J$12,$J$11,0,0),"")</f>
        <v>-26610.831508213985</v>
      </c>
      <c r="K109" s="32">
        <f>IF(B108&lt;'Умови та класичний графік'!$J$13,IPMT($J$20/12,B109,$J$12,$J$11,0,0),"")</f>
        <v>-5432.2786370646736</v>
      </c>
      <c r="L109" s="30">
        <f>IF(B108&lt;'Умови та класичний графік'!$J$13,-(SUM(M109:V109)),"")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>
        <f>IF(B108&lt;'Умови та класичний графік'!$J$13,XIRR($G$34:G109,$C$34:C109,0),"")</f>
        <v>0.38227815917968755</v>
      </c>
      <c r="X109" s="42"/>
      <c r="Y109" s="35"/>
    </row>
    <row r="110" spans="2:25" x14ac:dyDescent="0.2">
      <c r="B110" s="25">
        <v>76</v>
      </c>
      <c r="C110" s="36">
        <f>IF(B109&lt;'Умови та класичний графік'!$J$13,EDATE(C109,1),"")</f>
        <v>46508</v>
      </c>
      <c r="D110" s="36">
        <f>IF(B109&lt;'Умови та класичний графік'!$J$13,C109,"")</f>
        <v>46478</v>
      </c>
      <c r="E110" s="26">
        <f>IF(B109&lt;'Умови та класичний графік'!$J$13,C110-1,"")</f>
        <v>46507</v>
      </c>
      <c r="F110" s="37">
        <f>IF(B109&lt;'Умови та класичний графік'!$J$13,E110-D110+1,"")</f>
        <v>30</v>
      </c>
      <c r="G110" s="104">
        <f>IF(B109&lt;'Умови та класичний графік'!$J$13,-(SUM(J110:L110)),"")</f>
        <v>32043.110145278661</v>
      </c>
      <c r="H110" s="104"/>
      <c r="I110" s="32">
        <f>IF(B109&lt;'Умови та класичний графік'!$J$13,I109+J110,"")</f>
        <v>236000.91120290881</v>
      </c>
      <c r="J110" s="32">
        <f>IF(B109&lt;'Умови та класичний графік'!$J$13,PPMT($J$20/12,B110,$J$12,$J$11,0,0),"")</f>
        <v>-27109.784598992999</v>
      </c>
      <c r="K110" s="32">
        <f>IF(B109&lt;'Умови та класичний графік'!$J$13,IPMT($J$20/12,B110,$J$12,$J$11,0,0),"")</f>
        <v>-4933.3255462856623</v>
      </c>
      <c r="L110" s="30">
        <f>IF(B109&lt;'Умови та класичний графік'!$J$13,-(SUM(M110:V110)),"")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>
        <f>IF(B109&lt;'Умови та класичний графік'!$J$13,XIRR($G$34:G110,$C$34:C110,0),"")</f>
        <v>0.38433187988281259</v>
      </c>
      <c r="X110" s="42"/>
      <c r="Y110" s="35"/>
    </row>
    <row r="111" spans="2:25" x14ac:dyDescent="0.2">
      <c r="B111" s="25">
        <v>77</v>
      </c>
      <c r="C111" s="36">
        <f>IF(B110&lt;'Умови та класичний графік'!$J$13,EDATE(C110,1),"")</f>
        <v>46539</v>
      </c>
      <c r="D111" s="36">
        <f>IF(B110&lt;'Умови та класичний графік'!$J$13,C110,"")</f>
        <v>46508</v>
      </c>
      <c r="E111" s="26">
        <f>IF(B110&lt;'Умови та класичний графік'!$J$13,C111-1,"")</f>
        <v>46538</v>
      </c>
      <c r="F111" s="37">
        <f>IF(B110&lt;'Умови та класичний графік'!$J$13,E111-D111+1,"")</f>
        <v>31</v>
      </c>
      <c r="G111" s="104">
        <f>IF(B110&lt;'Умови та класичний графік'!$J$13,-(SUM(J111:L111)),"")</f>
        <v>32043.110145278657</v>
      </c>
      <c r="H111" s="104"/>
      <c r="I111" s="32">
        <f>IF(B110&lt;'Умови та класичний графік'!$J$13,I110+J111,"")</f>
        <v>208382.8181426847</v>
      </c>
      <c r="J111" s="32">
        <f>IF(B110&lt;'Умови та класичний графік'!$J$13,PPMT($J$20/12,B111,$J$12,$J$11,0,0),"")</f>
        <v>-27618.093060224113</v>
      </c>
      <c r="K111" s="32">
        <f>IF(B110&lt;'Умови та класичний графік'!$J$13,IPMT($J$20/12,B111,$J$12,$J$11,0,0),"")</f>
        <v>-4425.0170850545437</v>
      </c>
      <c r="L111" s="30">
        <f>IF(B110&lt;'Умови та класичний графік'!$J$13,-(SUM(M111:V111)),"")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>
        <f>IF(B110&lt;'Умови та класичний графік'!$J$13,XIRR($G$34:G111,$C$34:C111,0),"")</f>
        <v>0.38630569824218763</v>
      </c>
      <c r="X111" s="42"/>
      <c r="Y111" s="35"/>
    </row>
    <row r="112" spans="2:25" x14ac:dyDescent="0.2">
      <c r="B112" s="25">
        <v>78</v>
      </c>
      <c r="C112" s="36">
        <f>IF(B111&lt;'Умови та класичний графік'!$J$13,EDATE(C111,1),"")</f>
        <v>46569</v>
      </c>
      <c r="D112" s="36">
        <f>IF(B111&lt;'Умови та класичний графік'!$J$13,C111,"")</f>
        <v>46539</v>
      </c>
      <c r="E112" s="26">
        <f>IF(B111&lt;'Умови та класичний графік'!$J$13,C112-1,"")</f>
        <v>46568</v>
      </c>
      <c r="F112" s="37">
        <f>IF(B111&lt;'Умови та класичний графік'!$J$13,E112-D112+1,"")</f>
        <v>30</v>
      </c>
      <c r="G112" s="104">
        <f>IF(B111&lt;'Умови та класичний графік'!$J$13,-(SUM(J112:L112)),"")</f>
        <v>32043.110145278661</v>
      </c>
      <c r="H112" s="104"/>
      <c r="I112" s="32">
        <f>IF(B111&lt;'Умови та класичний графік'!$J$13,I111+J112,"")</f>
        <v>180246.88583758139</v>
      </c>
      <c r="J112" s="32">
        <f>IF(B111&lt;'Умови та класичний графік'!$J$13,PPMT($J$20/12,B112,$J$12,$J$11,0,0),"")</f>
        <v>-28135.932305103317</v>
      </c>
      <c r="K112" s="32">
        <f>IF(B111&lt;'Умови та класичний графік'!$J$13,IPMT($J$20/12,B112,$J$12,$J$11,0,0),"")</f>
        <v>-3907.1778401753418</v>
      </c>
      <c r="L112" s="30">
        <f>IF(B111&lt;'Умови та класичний графік'!$J$13,-(SUM(M112:V112)),"")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>
        <f>IF(B111&lt;'Умови та класичний графік'!$J$13,XIRR($G$34:G112,$C$34:C112,0),"")</f>
        <v>0.38820473144531253</v>
      </c>
      <c r="X112" s="42"/>
      <c r="Y112" s="35"/>
    </row>
    <row r="113" spans="2:25" x14ac:dyDescent="0.2">
      <c r="B113" s="25">
        <v>79</v>
      </c>
      <c r="C113" s="36">
        <f>IF(B112&lt;'Умови та класичний графік'!$J$13,EDATE(C112,1),"")</f>
        <v>46600</v>
      </c>
      <c r="D113" s="36">
        <f>IF(B112&lt;'Умови та класичний графік'!$J$13,C112,"")</f>
        <v>46569</v>
      </c>
      <c r="E113" s="26">
        <f>IF(B112&lt;'Умови та класичний графік'!$J$13,C113-1,"")</f>
        <v>46599</v>
      </c>
      <c r="F113" s="37">
        <f>IF(B112&lt;'Умови та класичний графік'!$J$13,E113-D113+1,"")</f>
        <v>31</v>
      </c>
      <c r="G113" s="104">
        <f>IF(B112&lt;'Умови та класичний графік'!$J$13,-(SUM(J113:L113)),"")</f>
        <v>32043.110145278661</v>
      </c>
      <c r="H113" s="104"/>
      <c r="I113" s="32">
        <f>IF(B112&lt;'Умови та класичний графік'!$J$13,I112+J113,"")</f>
        <v>151583.40480175737</v>
      </c>
      <c r="J113" s="32">
        <f>IF(B112&lt;'Умови та класичний графік'!$J$13,PPMT($J$20/12,B113,$J$12,$J$11,0,0),"")</f>
        <v>-28663.481035824007</v>
      </c>
      <c r="K113" s="32">
        <f>IF(B112&lt;'Умови та класичний графік'!$J$13,IPMT($J$20/12,B113,$J$12,$J$11,0,0),"")</f>
        <v>-3379.6291094546541</v>
      </c>
      <c r="L113" s="30">
        <f>IF(B112&lt;'Умови та класичний графік'!$J$13,-(SUM(M113:V113)),"")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>
        <f>IF(B112&lt;'Умови та класичний графік'!$J$13,XIRR($G$34:G113,$C$34:C113,0),"")</f>
        <v>0.39003046386718754</v>
      </c>
      <c r="X113" s="42"/>
      <c r="Y113" s="35"/>
    </row>
    <row r="114" spans="2:25" x14ac:dyDescent="0.2">
      <c r="B114" s="25">
        <v>80</v>
      </c>
      <c r="C114" s="36">
        <f>IF(B113&lt;'Умови та класичний графік'!$J$13,EDATE(C113,1),"")</f>
        <v>46631</v>
      </c>
      <c r="D114" s="36">
        <f>IF(B113&lt;'Умови та класичний графік'!$J$13,C113,"")</f>
        <v>46600</v>
      </c>
      <c r="E114" s="26">
        <f>IF(B113&lt;'Умови та класичний графік'!$J$13,C114-1,"")</f>
        <v>46630</v>
      </c>
      <c r="F114" s="37">
        <f>IF(B113&lt;'Умови та класичний графік'!$J$13,E114-D114+1,"")</f>
        <v>31</v>
      </c>
      <c r="G114" s="104">
        <f>IF(B113&lt;'Умови та класичний графік'!$J$13,-(SUM(J114:L114)),"")</f>
        <v>32043.110145278661</v>
      </c>
      <c r="H114" s="104"/>
      <c r="I114" s="32">
        <f>IF(B113&lt;'Умови та класичний графік'!$J$13,I113+J114,"")</f>
        <v>122382.48349651166</v>
      </c>
      <c r="J114" s="32">
        <f>IF(B113&lt;'Умови та класичний графік'!$J$13,PPMT($J$20/12,B114,$J$12,$J$11,0,0),"")</f>
        <v>-29200.921305245705</v>
      </c>
      <c r="K114" s="32">
        <f>IF(B113&lt;'Умови та класичний графік'!$J$13,IPMT($J$20/12,B114,$J$12,$J$11,0,0),"")</f>
        <v>-2842.188840032954</v>
      </c>
      <c r="L114" s="30">
        <f>IF(B113&lt;'Умови та класичний графік'!$J$13,-(SUM(M114:V114)),"")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>
        <f>IF(B113&lt;'Умови та класичний графік'!$J$13,XIRR($G$34:G114,$C$34:C114,0),"")</f>
        <v>0.39178599121093749</v>
      </c>
      <c r="X114" s="42"/>
      <c r="Y114" s="35"/>
    </row>
    <row r="115" spans="2:25" x14ac:dyDescent="0.2">
      <c r="B115" s="25">
        <v>81</v>
      </c>
      <c r="C115" s="36">
        <f>IF(B114&lt;'Умови та класичний графік'!$J$13,EDATE(C114,1),"")</f>
        <v>46661</v>
      </c>
      <c r="D115" s="36">
        <f>IF(B114&lt;'Умови та класичний графік'!$J$13,C114,"")</f>
        <v>46631</v>
      </c>
      <c r="E115" s="26">
        <f>IF(B114&lt;'Умови та класичний графік'!$J$13,C115-1,"")</f>
        <v>46660</v>
      </c>
      <c r="F115" s="37">
        <f>IF(B114&lt;'Умови та класичний графік'!$J$13,E115-D115+1,"")</f>
        <v>30</v>
      </c>
      <c r="G115" s="104">
        <f>IF(B114&lt;'Умови та класичний графік'!$J$13,-(SUM(J115:L115)),"")</f>
        <v>32043.110145278661</v>
      </c>
      <c r="H115" s="104"/>
      <c r="I115" s="32">
        <f>IF(B114&lt;'Умови та класичний графік'!$J$13,I114+J115,"")</f>
        <v>92634.044916792598</v>
      </c>
      <c r="J115" s="32">
        <f>IF(B114&lt;'Умови та класичний графік'!$J$13,PPMT($J$20/12,B115,$J$12,$J$11,0,0),"")</f>
        <v>-29748.438579719063</v>
      </c>
      <c r="K115" s="32">
        <f>IF(B114&lt;'Умови та класичний графік'!$J$13,IPMT($J$20/12,B115,$J$12,$J$11,0,0),"")</f>
        <v>-2294.6715655595967</v>
      </c>
      <c r="L115" s="30">
        <f>IF(B114&lt;'Умови та класичний графік'!$J$13,-(SUM(M115:V115)),"")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>
        <f>IF(B114&lt;'Умови та класичний графік'!$J$13,XIRR($G$34:G115,$C$34:C115,0),"")</f>
        <v>0.39347580566406248</v>
      </c>
      <c r="X115" s="42"/>
      <c r="Y115" s="35"/>
    </row>
    <row r="116" spans="2:25" x14ac:dyDescent="0.2">
      <c r="B116" s="25">
        <v>82</v>
      </c>
      <c r="C116" s="36">
        <f>IF(B115&lt;'Умови та класичний графік'!$J$13,EDATE(C115,1),"")</f>
        <v>46692</v>
      </c>
      <c r="D116" s="36">
        <f>IF(B115&lt;'Умови та класичний графік'!$J$13,C115,"")</f>
        <v>46661</v>
      </c>
      <c r="E116" s="26">
        <f>IF(B115&lt;'Умови та класичний графік'!$J$13,C116-1,"")</f>
        <v>46691</v>
      </c>
      <c r="F116" s="37">
        <f>IF(B115&lt;'Умови та класичний графік'!$J$13,E116-D116+1,"")</f>
        <v>31</v>
      </c>
      <c r="G116" s="104">
        <f>IF(B115&lt;'Умови та класичний графік'!$J$13,-(SUM(J116:L116)),"")</f>
        <v>32043.110145278661</v>
      </c>
      <c r="H116" s="104"/>
      <c r="I116" s="32">
        <f>IF(B115&lt;'Умови та класичний графік'!$J$13,I115+J116,"")</f>
        <v>62327.823113703802</v>
      </c>
      <c r="J116" s="32">
        <f>IF(B115&lt;'Умови та класичний графік'!$J$13,PPMT($J$20/12,B116,$J$12,$J$11,0,0),"")</f>
        <v>-30306.221803088796</v>
      </c>
      <c r="K116" s="32">
        <f>IF(B115&lt;'Умови та класичний графік'!$J$13,IPMT($J$20/12,B116,$J$12,$J$11,0,0),"")</f>
        <v>-1736.8883421898647</v>
      </c>
      <c r="L116" s="30">
        <f>IF(B115&lt;'Умови та класичний графік'!$J$13,-(SUM(M116:V116)),"")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>
        <f>IF(B115&lt;'Умови та класичний графік'!$J$13,XIRR($G$34:G116,$C$34:C116,0),"")</f>
        <v>0.3951011474609375</v>
      </c>
      <c r="X116" s="42"/>
      <c r="Y116" s="35"/>
    </row>
    <row r="117" spans="2:25" x14ac:dyDescent="0.2">
      <c r="B117" s="25">
        <v>83</v>
      </c>
      <c r="C117" s="36">
        <f>IF(B116&lt;'Умови та класичний графік'!$J$13,EDATE(C116,1),"")</f>
        <v>46722</v>
      </c>
      <c r="D117" s="36">
        <f>IF(B116&lt;'Умови та класичний графік'!$J$13,C116,"")</f>
        <v>46692</v>
      </c>
      <c r="E117" s="26">
        <f>IF(B116&lt;'Умови та класичний графік'!$J$13,C117-1,"")</f>
        <v>46721</v>
      </c>
      <c r="F117" s="37">
        <f>IF(B116&lt;'Умови та класичний графік'!$J$13,E117-D117+1,"")</f>
        <v>30</v>
      </c>
      <c r="G117" s="104">
        <f>IF(B116&lt;'Умови та класичний графік'!$J$13,-(SUM(J117:L117)),"")</f>
        <v>32043.110145278661</v>
      </c>
      <c r="H117" s="104"/>
      <c r="I117" s="32">
        <f>IF(B116&lt;'Умови та класичний графік'!$J$13,I116+J117,"")</f>
        <v>31453.359651807092</v>
      </c>
      <c r="J117" s="32">
        <f>IF(B116&lt;'Умови та класичний графік'!$J$13,PPMT($J$20/12,B117,$J$12,$J$11,0,0),"")</f>
        <v>-30874.46346189671</v>
      </c>
      <c r="K117" s="32">
        <f>IF(B116&lt;'Умови та класичний графік'!$J$13,IPMT($J$20/12,B117,$J$12,$J$11,0,0),"")</f>
        <v>-1168.6466833819497</v>
      </c>
      <c r="L117" s="30">
        <f>IF(B116&lt;'Умови та класичний графік'!$J$13,-(SUM(M117:V117)),"")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>
        <f>IF(B116&lt;'Умови та класичний графік'!$J$13,XIRR($G$34:G117,$C$34:C117,0),"")</f>
        <v>0.39666613769531256</v>
      </c>
      <c r="X117" s="42"/>
      <c r="Y117" s="35"/>
    </row>
    <row r="118" spans="2:25" x14ac:dyDescent="0.2">
      <c r="B118" s="25">
        <v>84</v>
      </c>
      <c r="C118" s="36">
        <f>IF(B117&lt;'Умови та класичний графік'!$J$13,EDATE(C117,1),"")</f>
        <v>46753</v>
      </c>
      <c r="D118" s="36">
        <f>IF(B117&lt;'Умови та класичний графік'!$J$13,C117,"")</f>
        <v>46722</v>
      </c>
      <c r="E118" s="26">
        <f>IF(B117&lt;'Умови та класичний графік'!$J$13,C118-1,"")</f>
        <v>46752</v>
      </c>
      <c r="F118" s="37">
        <f>IF(B117&lt;'Умови та класичний графік'!$J$13,E118-D118+1,"")</f>
        <v>31</v>
      </c>
      <c r="G118" s="104">
        <f>IF(B117&lt;'Умови та класичний графік'!$J$13,-(SUM(J118:L118)),"")</f>
        <v>32043.110145278661</v>
      </c>
      <c r="H118" s="104"/>
      <c r="I118" s="32">
        <f>IF(B117&lt;'Умови та класичний графік'!$J$13,I117+J118,"")</f>
        <v>-1.8189894035458565E-10</v>
      </c>
      <c r="J118" s="32">
        <f>IF(B117&lt;'Умови та класичний графік'!$J$13,PPMT($J$20/12,B118,$J$12,$J$11,0,0),"")</f>
        <v>-31453.359651807274</v>
      </c>
      <c r="K118" s="32">
        <f>IF(B117&lt;'Умови та класичний графік'!$J$13,IPMT($J$20/12,B118,$J$12,$J$11,0,0),"")</f>
        <v>-589.75049347138633</v>
      </c>
      <c r="L118" s="30">
        <f>IF(B117&lt;'Умови та класичний графік'!$J$13,-(SUM(M118:V118)),"")</f>
        <v>0</v>
      </c>
      <c r="M118" s="38"/>
      <c r="N118" s="39"/>
      <c r="O118" s="39"/>
      <c r="P118" s="32"/>
      <c r="Q118" s="40"/>
      <c r="R118" s="40"/>
      <c r="S118" s="41"/>
      <c r="T118" s="41"/>
      <c r="U118" s="33"/>
      <c r="V118" s="41"/>
      <c r="W118" s="43">
        <f>IF(B117&lt;'Умови та класичний графік'!$J$13,XIRR($G$34:G118,$C$34:C118,0),"")</f>
        <v>0.39817187011718758</v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104" t="str">
        <f>IF(B118&lt;'Умови та класичний графік'!$J$13,-(SUM(J119:L119)),"")</f>
        <v/>
      </c>
      <c r="H119" s="104"/>
      <c r="I119" s="32" t="str">
        <f>IF(B118&lt;'Умови та класичний графік'!$J$13,I118+J119,"")</f>
        <v/>
      </c>
      <c r="J119" s="32" t="str">
        <f>IF(B118&lt;'Умови та класичний графік'!$J$13,PPMT($J$20/12,B119,$J$12,$J$11,0,0),"")</f>
        <v/>
      </c>
      <c r="K119" s="32" t="str">
        <f>IF(B118&lt;'Умови та класичний графік'!$J$13,IPMT($J$20/12,B119,$J$12,$J$11,0,0),"")</f>
        <v/>
      </c>
      <c r="L119" s="30" t="str">
        <f>IF(B118&lt;'Умови та класичний графік'!$J$13,-(SUM(M119:V119)),"")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графік'!$J$13,XIRR($G$34:G119,$C$34:C119,0),"")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104" t="str">
        <f>IF(B119&lt;'Умови та класичний графік'!$J$13,-(SUM(J120:L120)),"")</f>
        <v/>
      </c>
      <c r="H120" s="104"/>
      <c r="I120" s="32" t="str">
        <f>IF(B119&lt;'Умови та класичний графік'!$J$13,I119+J120,"")</f>
        <v/>
      </c>
      <c r="J120" s="32" t="str">
        <f>IF(B119&lt;'Умови та класичний графік'!$J$13,PPMT($J$20/12,B120,$J$12,$J$11,0,0),"")</f>
        <v/>
      </c>
      <c r="K120" s="32" t="str">
        <f>IF(B119&lt;'Умови та класичний графік'!$J$13,IPMT($J$20/12,B120,$J$12,$J$11,0,0),"")</f>
        <v/>
      </c>
      <c r="L120" s="30" t="str">
        <f>IF(B119&lt;'Умови та класичний графік'!$J$13,-(SUM(M120:V120)),"")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04" t="str">
        <f>IF(B120&lt;'Умови та класичний графік'!$J$13,-(SUM(J121:L121)),"")</f>
        <v/>
      </c>
      <c r="H121" s="104"/>
      <c r="I121" s="32" t="str">
        <f>IF(B120&lt;'Умови та класичний графік'!$J$13,I120+J121,"")</f>
        <v/>
      </c>
      <c r="J121" s="32" t="str">
        <f>IF(B120&lt;'Умови та класичний графік'!$J$13,PPMT($J$20/12,B121,$J$12,$J$11,0,0),"")</f>
        <v/>
      </c>
      <c r="K121" s="32" t="str">
        <f>IF(B120&lt;'Умови та класичний графік'!$J$13,IPMT($J$20/12,B121,$J$12,$J$11,0,0),"")</f>
        <v/>
      </c>
      <c r="L121" s="30" t="str">
        <f>IF(B120&lt;'Умови та класичний графік'!$J$13,-(SUM(M121:V121)),"")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графік'!$J$13,XIRR($G$34:G121,$C$34:C121,0),"")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04" t="str">
        <f>IF(B121&lt;'Умови та класичний графік'!$J$13,-(SUM(J122:L122)),"")</f>
        <v/>
      </c>
      <c r="H122" s="104"/>
      <c r="I122" s="32" t="str">
        <f>IF(B121&lt;'Умови та класичний графік'!$J$13,I121+J122,"")</f>
        <v/>
      </c>
      <c r="J122" s="32" t="str">
        <f>IF(B121&lt;'Умови та класичний графік'!$J$13,PPMT($J$20/12,B122,$J$12,$J$11,0,0),"")</f>
        <v/>
      </c>
      <c r="K122" s="32" t="str">
        <f>IF(B121&lt;'Умови та класичний графік'!$J$13,IPMT($J$20/12,B122,$J$12,$J$11,0,0),"")</f>
        <v/>
      </c>
      <c r="L122" s="30" t="str">
        <f>IF(B121&lt;'Умови та класичний графік'!$J$13,-(SUM(M122:V122)),"")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графік'!$J$13,XIRR($G$34:G122,$C$34:C122,0),"")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04" t="str">
        <f>IF(B122&lt;'Умови та класичний графік'!$J$13,-(SUM(J123:L123)),"")</f>
        <v/>
      </c>
      <c r="H123" s="104"/>
      <c r="I123" s="32" t="str">
        <f>IF(B122&lt;'Умови та класичний графік'!$J$13,I122+J123,"")</f>
        <v/>
      </c>
      <c r="J123" s="32" t="str">
        <f>IF(B122&lt;'Умови та класичний графік'!$J$13,PPMT($J$20/12,B123,$J$12,$J$11,0,0),"")</f>
        <v/>
      </c>
      <c r="K123" s="32" t="str">
        <f>IF(B122&lt;'Умови та класичний графік'!$J$13,IPMT($J$20/12,B123,$J$12,$J$11,0,0),"")</f>
        <v/>
      </c>
      <c r="L123" s="30" t="str">
        <f>IF(B122&lt;'Умови та класичний графік'!$J$13,-(SUM(M123:V123)),"")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графік'!$J$13,XIRR($G$34:G123,$C$34:C123,0),"")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04" t="str">
        <f>IF(B123&lt;'Умови та класичний графік'!$J$13,-(SUM(J124:L124)),"")</f>
        <v/>
      </c>
      <c r="H124" s="104"/>
      <c r="I124" s="32" t="str">
        <f>IF(B123&lt;'Умови та класичний графік'!$J$13,I123+J124,"")</f>
        <v/>
      </c>
      <c r="J124" s="32" t="str">
        <f>IF(B123&lt;'Умови та класичний графік'!$J$13,PPMT($J$20/12,B124,$J$12,$J$11,0,0),"")</f>
        <v/>
      </c>
      <c r="K124" s="32" t="str">
        <f>IF(B123&lt;'Умови та класичний графік'!$J$13,IPMT($J$20/12,B124,$J$12,$J$11,0,0),"")</f>
        <v/>
      </c>
      <c r="L124" s="30" t="str">
        <f>IF(B123&lt;'Умови та класичний графік'!$J$13,-(SUM(M124:V124)),"")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графік'!$J$13,XIRR($G$34:G124,$C$34:C124,0),"")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04" t="str">
        <f>IF(B124&lt;'Умови та класичний графік'!$J$13,-(SUM(J125:L125)),"")</f>
        <v/>
      </c>
      <c r="H125" s="104"/>
      <c r="I125" s="32" t="str">
        <f>IF(B124&lt;'Умови та класичний графік'!$J$13,I124+J125,"")</f>
        <v/>
      </c>
      <c r="J125" s="32" t="str">
        <f>IF(B124&lt;'Умови та класичний графік'!$J$13,PPMT($J$20/12,B125,$J$12,$J$11,0,0),"")</f>
        <v/>
      </c>
      <c r="K125" s="32" t="str">
        <f>IF(B124&lt;'Умови та класичний графік'!$J$13,IPMT($J$20/12,B125,$J$12,$J$11,0,0),"")</f>
        <v/>
      </c>
      <c r="L125" s="30" t="str">
        <f>IF(B124&lt;'Умови та класичний графік'!$J$13,-(SUM(M125:V125)),"")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графік'!$J$13,XIRR($G$34:G125,$C$34:C125,0),"")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04" t="str">
        <f>IF(B125&lt;'Умови та класичний графік'!$J$13,-(SUM(J126:L126)),"")</f>
        <v/>
      </c>
      <c r="H126" s="104"/>
      <c r="I126" s="32" t="str">
        <f>IF(B125&lt;'Умови та класичний графік'!$J$13,I125+J126,"")</f>
        <v/>
      </c>
      <c r="J126" s="32" t="str">
        <f>IF(B125&lt;'Умови та класичний графік'!$J$13,PPMT($J$20/12,B126,$J$12,$J$11,0,0),"")</f>
        <v/>
      </c>
      <c r="K126" s="32" t="str">
        <f>IF(B125&lt;'Умови та класичний графік'!$J$13,IPMT($J$20/12,B126,$J$12,$J$11,0,0),"")</f>
        <v/>
      </c>
      <c r="L126" s="30" t="str">
        <f>IF(B125&lt;'Умови та класичний графік'!$J$13,-(SUM(M126:V126)),"")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графік'!$J$13,XIRR($G$34:G126,$C$34:C126,0),"")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04" t="str">
        <f>IF(B126&lt;'Умови та класичний графік'!$J$13,-(SUM(J127:L127)),"")</f>
        <v/>
      </c>
      <c r="H127" s="104"/>
      <c r="I127" s="32" t="str">
        <f>IF(B126&lt;'Умови та класичний графік'!$J$13,I126+J127,"")</f>
        <v/>
      </c>
      <c r="J127" s="32" t="str">
        <f>IF(B126&lt;'Умови та класичний графік'!$J$13,PPMT($J$20/12,B127,$J$12,$J$11,0,0),"")</f>
        <v/>
      </c>
      <c r="K127" s="32" t="str">
        <f>IF(B126&lt;'Умови та класичний графік'!$J$13,IPMT($J$20/12,B127,$J$12,$J$11,0,0),"")</f>
        <v/>
      </c>
      <c r="L127" s="30" t="str">
        <f>IF(B126&lt;'Умови та класичний графік'!$J$13,-(SUM(M127:V127)),"")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графік'!$J$13,XIRR($G$34:G127,$C$34:C127,0),"")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04" t="str">
        <f>IF(B127&lt;'Умови та класичний графік'!$J$13,-(SUM(J128:L128)),"")</f>
        <v/>
      </c>
      <c r="H128" s="104"/>
      <c r="I128" s="32" t="str">
        <f>IF(B127&lt;'Умови та класичний графік'!$J$13,I127+J128,"")</f>
        <v/>
      </c>
      <c r="J128" s="32" t="str">
        <f>IF(B127&lt;'Умови та класичний графік'!$J$13,PPMT($J$20/12,B128,$J$12,$J$11,0,0),"")</f>
        <v/>
      </c>
      <c r="K128" s="32" t="str">
        <f>IF(B127&lt;'Умови та класичний графік'!$J$13,IPMT($J$20/12,B128,$J$12,$J$11,0,0),"")</f>
        <v/>
      </c>
      <c r="L128" s="30" t="str">
        <f>IF(B127&lt;'Умови та класичний графік'!$J$13,-(SUM(M128:V128)),"")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графік'!$J$13,XIRR($G$34:G128,$C$34:C128,0),"")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04" t="str">
        <f>IF(B128&lt;'Умови та класичний графік'!$J$13,-(SUM(J129:L129)),"")</f>
        <v/>
      </c>
      <c r="H129" s="104"/>
      <c r="I129" s="32" t="str">
        <f>IF(B128&lt;'Умови та класичний графік'!$J$13,I128+J129,"")</f>
        <v/>
      </c>
      <c r="J129" s="32" t="str">
        <f>IF(B128&lt;'Умови та класичний графік'!$J$13,PPMT($J$20/12,B129,$J$12,$J$11,0,0),"")</f>
        <v/>
      </c>
      <c r="K129" s="32" t="str">
        <f>IF(B128&lt;'Умови та класичний графік'!$J$13,IPMT($J$20/12,B129,$J$12,$J$11,0,0),"")</f>
        <v/>
      </c>
      <c r="L129" s="30" t="str">
        <f>IF(B128&lt;'Умови та класичний графік'!$J$13,-(SUM(M129:V129)),"")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графік'!$J$13,XIRR($G$34:G129,$C$34:C129,0),"")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04" t="str">
        <f>IF(B129&lt;'Умови та класичний графік'!$J$13,-(SUM(J130:L130)),"")</f>
        <v/>
      </c>
      <c r="H130" s="104"/>
      <c r="I130" s="32" t="str">
        <f>IF(B129&lt;'Умови та класичний графік'!$J$13,I129+J130,"")</f>
        <v/>
      </c>
      <c r="J130" s="32" t="str">
        <f>IF(B129&lt;'Умови та класичний графік'!$J$13,PPMT($J$20/12,B130,$J$12,$J$11,0,0),"")</f>
        <v/>
      </c>
      <c r="K130" s="32" t="str">
        <f>IF(B129&lt;'Умови та класичний графік'!$J$13,IPMT($J$20/12,B130,$J$12,$J$11,0,0),"")</f>
        <v/>
      </c>
      <c r="L130" s="30" t="str">
        <f>IF(B129&lt;'Умови та класичний графік'!$J$13,-(SUM(M130:V130)),"")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графік'!$J$13,XIRR($G$34:G130,$C$34:C130,0),"")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04" t="str">
        <f>IF(B130&lt;'Умови та класичний графік'!$J$13,-(SUM(J131:L131)),"")</f>
        <v/>
      </c>
      <c r="H131" s="104"/>
      <c r="I131" s="32" t="str">
        <f>IF(B130&lt;'Умови та класичний графік'!$J$13,I130+J131,"")</f>
        <v/>
      </c>
      <c r="J131" s="32" t="str">
        <f>IF(B130&lt;'Умови та класичний графік'!$J$13,PPMT($J$20/12,B131,$J$12,$J$11,0,0),"")</f>
        <v/>
      </c>
      <c r="K131" s="32" t="str">
        <f>IF(B130&lt;'Умови та класичний графік'!$J$13,IPMT($J$20/12,B131,$J$12,$J$11,0,0),"")</f>
        <v/>
      </c>
      <c r="L131" s="30" t="str">
        <f>IF(B130&lt;'Умови та класичний графік'!$J$13,-(SUM(M131:V131)),"")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графік'!$J$13,XIRR($G$34:G131,$C$34:C131,0),"")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04" t="str">
        <f>IF(B131&lt;'Умови та класичний графік'!$J$13,-(SUM(J132:L132)),"")</f>
        <v/>
      </c>
      <c r="H132" s="104"/>
      <c r="I132" s="32" t="str">
        <f>IF(B131&lt;'Умови та класичний графік'!$J$13,I131+J132,"")</f>
        <v/>
      </c>
      <c r="J132" s="32" t="str">
        <f>IF(B131&lt;'Умови та класичний графік'!$J$13,PPMT($J$20/12,B132,$J$12,$J$11,0,0),"")</f>
        <v/>
      </c>
      <c r="K132" s="32" t="str">
        <f>IF(B131&lt;'Умови та класичний графік'!$J$13,IPMT($J$20/12,B132,$J$12,$J$11,0,0),"")</f>
        <v/>
      </c>
      <c r="L132" s="30" t="str">
        <f>IF(B131&lt;'Умови та класичний графік'!$J$13,-(SUM(M132:V132)),"")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графік'!$J$13,XIRR($G$34:G132,$C$34:C132,0),"")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04" t="str">
        <f>IF(B132&lt;'Умови та класичний графік'!$J$13,-(SUM(J133:L133)),"")</f>
        <v/>
      </c>
      <c r="H133" s="104"/>
      <c r="I133" s="32" t="str">
        <f>IF(B132&lt;'Умови та класичний графік'!$J$13,I132+J133,"")</f>
        <v/>
      </c>
      <c r="J133" s="32" t="str">
        <f>IF(B132&lt;'Умови та класичний графік'!$J$13,PPMT($J$20/12,B133,$J$12,$J$11,0,0),"")</f>
        <v/>
      </c>
      <c r="K133" s="32" t="str">
        <f>IF(B132&lt;'Умови та класичний графік'!$J$13,IPMT($J$20/12,B133,$J$12,$J$11,0,0),"")</f>
        <v/>
      </c>
      <c r="L133" s="30" t="str">
        <f>IF(B132&lt;'Умови та класичний графік'!$J$13,-(SUM(M133:V133)),"")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графік'!$J$13,XIRR($G$34:G133,$C$34:C133,0),"")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04" t="str">
        <f>IF(B133&lt;'Умови та класичний графік'!$J$13,-(SUM(J134:L134)),"")</f>
        <v/>
      </c>
      <c r="H134" s="104"/>
      <c r="I134" s="32" t="str">
        <f>IF(B133&lt;'Умови та класичний графік'!$J$13,I133+J134,"")</f>
        <v/>
      </c>
      <c r="J134" s="32" t="str">
        <f>IF(B133&lt;'Умови та класичний графік'!$J$13,PPMT($J$20/12,B134,$J$12,$J$11,0,0),"")</f>
        <v/>
      </c>
      <c r="K134" s="32" t="str">
        <f>IF(B133&lt;'Умови та класичний графік'!$J$13,IPMT($J$20/12,B134,$J$12,$J$11,0,0),"")</f>
        <v/>
      </c>
      <c r="L134" s="30" t="str">
        <f>IF(B133&lt;'Умови та класичний графік'!$J$13,-(SUM(M134:V134)),"")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графік'!$J$13,XIRR($G$34:G134,$C$34:C134,0),"")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04" t="str">
        <f>IF(B134&lt;'Умови та класичний графік'!$J$13,-(SUM(J135:L135)),"")</f>
        <v/>
      </c>
      <c r="H135" s="104"/>
      <c r="I135" s="32" t="str">
        <f>IF(B134&lt;'Умови та класичний графік'!$J$13,I134+J135,"")</f>
        <v/>
      </c>
      <c r="J135" s="32" t="str">
        <f>IF(B134&lt;'Умови та класичний графік'!$J$13,PPMT($J$20/12,B135,$J$12,$J$11,0,0),"")</f>
        <v/>
      </c>
      <c r="K135" s="32" t="str">
        <f>IF(B134&lt;'Умови та класичний графік'!$J$13,IPMT($J$20/12,B135,$J$12,$J$11,0,0),"")</f>
        <v/>
      </c>
      <c r="L135" s="30" t="str">
        <f>IF(B134&lt;'Умови та класичний графік'!$J$13,-(SUM(M135:V135)),"")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графік'!$J$13,XIRR($G$34:G135,$C$34:C135,0),"")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04" t="str">
        <f>IF(B135&lt;'Умови та класичний графік'!$J$13,-(SUM(J136:L136)),"")</f>
        <v/>
      </c>
      <c r="H136" s="104"/>
      <c r="I136" s="32" t="str">
        <f>IF(B135&lt;'Умови та класичний графік'!$J$13,I135+J136,"")</f>
        <v/>
      </c>
      <c r="J136" s="32" t="str">
        <f>IF(B135&lt;'Умови та класичний графік'!$J$13,PPMT($J$20/12,B136,$J$12,$J$11,0,0),"")</f>
        <v/>
      </c>
      <c r="K136" s="32" t="str">
        <f>IF(B135&lt;'Умови та класичний графік'!$J$13,IPMT($J$20/12,B136,$J$12,$J$11,0,0),"")</f>
        <v/>
      </c>
      <c r="L136" s="30" t="str">
        <f>IF(B135&lt;'Умови та класичний графік'!$J$13,-(SUM(M136:V136)),"")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графік'!$J$13,XIRR($G$34:G136,$C$34:C136,0),"")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04" t="str">
        <f>IF(B136&lt;'Умови та класичний графік'!$J$13,-(SUM(J137:L137)),"")</f>
        <v/>
      </c>
      <c r="H137" s="104"/>
      <c r="I137" s="32" t="str">
        <f>IF(B136&lt;'Умови та класичний графік'!$J$13,I136+J137,"")</f>
        <v/>
      </c>
      <c r="J137" s="32" t="str">
        <f>IF(B136&lt;'Умови та класичний графік'!$J$13,PPMT($J$20/12,B137,$J$12,$J$11,0,0),"")</f>
        <v/>
      </c>
      <c r="K137" s="32" t="str">
        <f>IF(B136&lt;'Умови та класичний графік'!$J$13,IPMT($J$20/12,B137,$J$12,$J$11,0,0),"")</f>
        <v/>
      </c>
      <c r="L137" s="30" t="str">
        <f>IF(B136&lt;'Умови та класичний графік'!$J$13,-(SUM(M137:V137)),"")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графік'!$J$13,XIRR($G$34:G137,$C$34:C137,0),"")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04" t="str">
        <f>IF(B137&lt;'Умови та класичний графік'!$J$13,-(SUM(J138:L138)),"")</f>
        <v/>
      </c>
      <c r="H138" s="104"/>
      <c r="I138" s="32" t="str">
        <f>IF(B137&lt;'Умови та класичний графік'!$J$13,I137+J138,"")</f>
        <v/>
      </c>
      <c r="J138" s="32" t="str">
        <f>IF(B137&lt;'Умови та класичний графік'!$J$13,PPMT($J$20/12,B138,$J$12,$J$11,0,0),"")</f>
        <v/>
      </c>
      <c r="K138" s="32" t="str">
        <f>IF(B137&lt;'Умови та класичний графік'!$J$13,IPMT($J$20/12,B138,$J$12,$J$11,0,0),"")</f>
        <v/>
      </c>
      <c r="L138" s="30" t="str">
        <f>IF(B137&lt;'Умови та класичний графік'!$J$13,-(SUM(M138:V138)),"")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графік'!$J$13,XIRR($G$34:G138,$C$34:C138,0),"")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04" t="str">
        <f>IF(B138&lt;'Умови та класичний графік'!$J$13,-(SUM(J139:L139)),"")</f>
        <v/>
      </c>
      <c r="H139" s="104"/>
      <c r="I139" s="32" t="str">
        <f>IF(B138&lt;'Умови та класичний графік'!$J$13,I138+J139,"")</f>
        <v/>
      </c>
      <c r="J139" s="32" t="str">
        <f>IF(B138&lt;'Умови та класичний графік'!$J$13,PPMT($J$20/12,B139,$J$12,$J$11,0,0),"")</f>
        <v/>
      </c>
      <c r="K139" s="32" t="str">
        <f>IF(B138&lt;'Умови та класичний графік'!$J$13,IPMT($J$20/12,B139,$J$12,$J$11,0,0),"")</f>
        <v/>
      </c>
      <c r="L139" s="30" t="str">
        <f>IF(B138&lt;'Умови та класичний графік'!$J$13,-(SUM(M139:V139)),"")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графік'!$J$13,XIRR($G$34:G139,$C$34:C139,0),"")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04" t="str">
        <f>IF(B139&lt;'Умови та класичний графік'!$J$13,-(SUM(J140:L140)),"")</f>
        <v/>
      </c>
      <c r="H140" s="104"/>
      <c r="I140" s="32" t="str">
        <f>IF(B139&lt;'Умови та класичний графік'!$J$13,I139+J140,"")</f>
        <v/>
      </c>
      <c r="J140" s="32" t="str">
        <f>IF(B139&lt;'Умови та класичний графік'!$J$13,PPMT($J$20/12,B140,$J$12,$J$11,0,0),"")</f>
        <v/>
      </c>
      <c r="K140" s="32" t="str">
        <f>IF(B139&lt;'Умови та класичний графік'!$J$13,IPMT($J$20/12,B140,$J$12,$J$11,0,0),"")</f>
        <v/>
      </c>
      <c r="L140" s="30" t="str">
        <f>IF(B139&lt;'Умови та класичний графік'!$J$13,-(SUM(M140:V140)),"")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графік'!$J$13,XIRR($G$34:G140,$C$34:C140,0),"")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04" t="str">
        <f>IF(B140&lt;'Умови та класичний графік'!$J$13,-(SUM(J141:L141)),"")</f>
        <v/>
      </c>
      <c r="H141" s="104"/>
      <c r="I141" s="32" t="str">
        <f>IF(B140&lt;'Умови та класичний графік'!$J$13,I140+J141,"")</f>
        <v/>
      </c>
      <c r="J141" s="32" t="str">
        <f>IF(B140&lt;'Умови та класичний графік'!$J$13,PPMT($J$20/12,B141,$J$12,$J$11,0,0),"")</f>
        <v/>
      </c>
      <c r="K141" s="32" t="str">
        <f>IF(B140&lt;'Умови та класичний графік'!$J$13,IPMT($J$20/12,B141,$J$12,$J$11,0,0),"")</f>
        <v/>
      </c>
      <c r="L141" s="30" t="str">
        <f>IF(B140&lt;'Умови та класичний графік'!$J$13,-(SUM(M141:V141)),"")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графік'!$J$13,XIRR($G$34:G141,$C$34:C141,0),"")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04" t="str">
        <f>IF(B141&lt;'Умови та класичний графік'!$J$13,-(SUM(J142:L142)),"")</f>
        <v/>
      </c>
      <c r="H142" s="104"/>
      <c r="I142" s="32" t="str">
        <f>IF(B141&lt;'Умови та класичний графік'!$J$13,I141+J142,"")</f>
        <v/>
      </c>
      <c r="J142" s="32" t="str">
        <f>IF(B141&lt;'Умови та класичний графік'!$J$13,PPMT($J$20/12,B142,$J$12,$J$11,0,0),"")</f>
        <v/>
      </c>
      <c r="K142" s="32" t="str">
        <f>IF(B141&lt;'Умови та класичний графік'!$J$13,IPMT($J$20/12,B142,$J$12,$J$11,0,0),"")</f>
        <v/>
      </c>
      <c r="L142" s="30" t="str">
        <f>IF(B141&lt;'Умови та класичний графік'!$J$13,-(SUM(M142:V142)),"")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графік'!$J$13,XIRR($G$34:G142,$C$34:C142,0),"")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04" t="str">
        <f>IF(B142&lt;'Умови та класичний графік'!$J$13,-(SUM(J143:L143)),"")</f>
        <v/>
      </c>
      <c r="H143" s="104"/>
      <c r="I143" s="32" t="str">
        <f>IF(B142&lt;'Умови та класичний графік'!$J$13,I142+J143,"")</f>
        <v/>
      </c>
      <c r="J143" s="32" t="str">
        <f>IF(B142&lt;'Умови та класичний графік'!$J$13,PPMT($J$20/12,B143,$J$12,$J$11,0,0),"")</f>
        <v/>
      </c>
      <c r="K143" s="32" t="str">
        <f>IF(B142&lt;'Умови та класичний графік'!$J$13,IPMT($J$20/12,B143,$J$12,$J$11,0,0),"")</f>
        <v/>
      </c>
      <c r="L143" s="30" t="str">
        <f>IF(B142&lt;'Умови та класичний графік'!$J$13,-(SUM(M143:V143)),"")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графік'!$J$13,XIRR($G$34:G143,$C$34:C143,0),"")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04" t="str">
        <f>IF(B143&lt;'Умови та класичний графік'!$J$13,-(SUM(J144:L144)),"")</f>
        <v/>
      </c>
      <c r="H144" s="104"/>
      <c r="I144" s="32" t="str">
        <f>IF(B143&lt;'Умови та класичний графік'!$J$13,I143+J144,"")</f>
        <v/>
      </c>
      <c r="J144" s="32" t="str">
        <f>IF(B143&lt;'Умови та класичний графік'!$J$13,PPMT($J$20/12,B144,$J$12,$J$11,0,0),"")</f>
        <v/>
      </c>
      <c r="K144" s="32" t="str">
        <f>IF(B143&lt;'Умови та класичний графік'!$J$13,IPMT($J$20/12,B144,$J$12,$J$11,0,0),"")</f>
        <v/>
      </c>
      <c r="L144" s="30" t="str">
        <f>IF(B143&lt;'Умови та класичний графік'!$J$13,-(SUM(M144:V144)),"")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графік'!$J$13,XIRR($G$34:G144,$C$34:C144,0),"")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04" t="str">
        <f>IF(B144&lt;'Умови та класичний графік'!$J$13,-(SUM(J145:L145)),"")</f>
        <v/>
      </c>
      <c r="H145" s="104"/>
      <c r="I145" s="32" t="str">
        <f>IF(B144&lt;'Умови та класичний графік'!$J$13,I144+J145,"")</f>
        <v/>
      </c>
      <c r="J145" s="32" t="str">
        <f>IF(B144&lt;'Умови та класичний графік'!$J$13,PPMT($J$20/12,B145,$J$12,$J$11,0,0),"")</f>
        <v/>
      </c>
      <c r="K145" s="32" t="str">
        <f>IF(B144&lt;'Умови та класичний графік'!$J$13,IPMT($J$20/12,B145,$J$12,$J$11,0,0),"")</f>
        <v/>
      </c>
      <c r="L145" s="30" t="str">
        <f>IF(B144&lt;'Умови та класичний графік'!$J$13,-(SUM(M145:V145)),"")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графік'!$J$13,XIRR($G$34:G145,$C$34:C145,0),"")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04" t="str">
        <f>IF(B145&lt;'Умови та класичний графік'!$J$13,-(SUM(J146:L146)),"")</f>
        <v/>
      </c>
      <c r="H146" s="104"/>
      <c r="I146" s="32" t="str">
        <f>IF(B145&lt;'Умови та класичний графік'!$J$13,I145+J146,"")</f>
        <v/>
      </c>
      <c r="J146" s="32" t="str">
        <f>IF(B145&lt;'Умови та класичний графік'!$J$13,PPMT($J$20/12,B146,$J$12,$J$11,0,0),"")</f>
        <v/>
      </c>
      <c r="K146" s="32" t="str">
        <f>IF(B145&lt;'Умови та класичний графік'!$J$13,IPMT($J$20/12,B146,$J$12,$J$11,0,0),"")</f>
        <v/>
      </c>
      <c r="L146" s="30" t="str">
        <f>IF(B145&lt;'Умови та класичний графік'!$J$13,-(SUM(M146:V146)),"")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графік'!$J$13,XIRR($G$34:G146,$C$34:C146,0),"")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04" t="str">
        <f>IF(B146&lt;'Умови та класичний графік'!$J$13,-(SUM(J147:L147)),"")</f>
        <v/>
      </c>
      <c r="H147" s="104"/>
      <c r="I147" s="32" t="str">
        <f>IF(B146&lt;'Умови та класичний графік'!$J$13,I146+J147,"")</f>
        <v/>
      </c>
      <c r="J147" s="32" t="str">
        <f>IF(B146&lt;'Умови та класичний графік'!$J$13,PPMT($J$20/12,B147,$J$12,$J$11,0,0),"")</f>
        <v/>
      </c>
      <c r="K147" s="32" t="str">
        <f>IF(B146&lt;'Умови та класичний графік'!$J$13,IPMT($J$20/12,B147,$J$12,$J$11,0,0),"")</f>
        <v/>
      </c>
      <c r="L147" s="30" t="str">
        <f>IF(B146&lt;'Умови та класичний графік'!$J$13,-(SUM(M147:V147)),"")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графік'!$J$13,XIRR($G$34:G147,$C$34:C147,0),"")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04" t="str">
        <f>IF(B147&lt;'Умови та класичний графік'!$J$13,-(SUM(J148:L148)),"")</f>
        <v/>
      </c>
      <c r="H148" s="104"/>
      <c r="I148" s="32" t="str">
        <f>IF(B147&lt;'Умови та класичний графік'!$J$13,I147+J148,"")</f>
        <v/>
      </c>
      <c r="J148" s="32" t="str">
        <f>IF(B147&lt;'Умови та класичний графік'!$J$13,PPMT($J$20/12,B148,$J$12,$J$11,0,0),"")</f>
        <v/>
      </c>
      <c r="K148" s="32" t="str">
        <f>IF(B147&lt;'Умови та класичний графік'!$J$13,IPMT($J$20/12,B148,$J$12,$J$11,0,0),"")</f>
        <v/>
      </c>
      <c r="L148" s="30" t="str">
        <f>IF(B147&lt;'Умови та класичний графік'!$J$13,-(SUM(M148:V148)),"")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графік'!$J$13,XIRR($G$34:G148,$C$34:C148,0),"")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04" t="str">
        <f>IF(B148&lt;'Умови та класичний графік'!$J$13,-(SUM(J149:L149)),"")</f>
        <v/>
      </c>
      <c r="H149" s="104"/>
      <c r="I149" s="32" t="str">
        <f>IF(B148&lt;'Умови та класичний графік'!$J$13,I148+J149,"")</f>
        <v/>
      </c>
      <c r="J149" s="32" t="str">
        <f>IF(B148&lt;'Умови та класичний графік'!$J$13,PPMT($J$20/12,B149,$J$12,$J$11,0,0),"")</f>
        <v/>
      </c>
      <c r="K149" s="32" t="str">
        <f>IF(B148&lt;'Умови та класичний графік'!$J$13,IPMT($J$20/12,B149,$J$12,$J$11,0,0),"")</f>
        <v/>
      </c>
      <c r="L149" s="30" t="str">
        <f>IF(B148&lt;'Умови та класичний графік'!$J$13,-(SUM(M149:V149)),"")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графік'!$J$13,XIRR($G$34:G149,$C$34:C149,0),"")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04" t="str">
        <f>IF(B149&lt;'Умови та класичний графік'!$J$13,-(SUM(J150:L150)),"")</f>
        <v/>
      </c>
      <c r="H150" s="104"/>
      <c r="I150" s="32" t="str">
        <f>IF(B149&lt;'Умови та класичний графік'!$J$13,I149+J150,"")</f>
        <v/>
      </c>
      <c r="J150" s="32" t="str">
        <f>IF(B149&lt;'Умови та класичний графік'!$J$13,PPMT($J$20/12,B150,$J$12,$J$11,0,0),"")</f>
        <v/>
      </c>
      <c r="K150" s="32" t="str">
        <f>IF(B149&lt;'Умови та класичний графік'!$J$13,IPMT($J$20/12,B150,$J$12,$J$11,0,0),"")</f>
        <v/>
      </c>
      <c r="L150" s="30" t="str">
        <f>IF(B149&lt;'Умови та класичний графік'!$J$13,-(SUM(M150:V150)),"")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графік'!$J$13,XIRR($G$34:G150,$C$34:C150,0),"")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04" t="str">
        <f>IF(B150&lt;'Умови та класичний графік'!$J$13,-(SUM(J151:L151)),"")</f>
        <v/>
      </c>
      <c r="H151" s="104"/>
      <c r="I151" s="32" t="str">
        <f>IF(B150&lt;'Умови та класичний графік'!$J$13,I150+J151,"")</f>
        <v/>
      </c>
      <c r="J151" s="32" t="str">
        <f>IF(B150&lt;'Умови та класичний графік'!$J$13,PPMT($J$20/12,B151,$J$12,$J$11,0,0),"")</f>
        <v/>
      </c>
      <c r="K151" s="32" t="str">
        <f>IF(B150&lt;'Умови та класичний графік'!$J$13,IPMT($J$20/12,B151,$J$12,$J$11,0,0),"")</f>
        <v/>
      </c>
      <c r="L151" s="30" t="str">
        <f>IF(B150&lt;'Умови та класичний графік'!$J$13,-(SUM(M151:V151)),"")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графік'!$J$13,XIRR($G$34:G151,$C$34:C151,0),"")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04" t="str">
        <f>IF(B151&lt;'Умови та класичний графік'!$J$13,-(SUM(J152:L152)),"")</f>
        <v/>
      </c>
      <c r="H152" s="104"/>
      <c r="I152" s="32" t="str">
        <f>IF(B151&lt;'Умови та класичний графік'!$J$13,I151+J152,"")</f>
        <v/>
      </c>
      <c r="J152" s="32" t="str">
        <f>IF(B151&lt;'Умови та класичний графік'!$J$13,PPMT($J$20/12,B152,$J$12,$J$11,0,0),"")</f>
        <v/>
      </c>
      <c r="K152" s="32" t="str">
        <f>IF(B151&lt;'Умови та класичний графік'!$J$13,IPMT($J$20/12,B152,$J$12,$J$11,0,0),"")</f>
        <v/>
      </c>
      <c r="L152" s="30" t="str">
        <f>IF(B151&lt;'Умови та класичний графік'!$J$13,-(SUM(M152:V152)),"")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графік'!$J$13,XIRR($G$34:G152,$C$34:C152,0),"")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04" t="str">
        <f>IF(B152&lt;'Умови та класичний графік'!$J$13,-(SUM(J153:L153)),"")</f>
        <v/>
      </c>
      <c r="H153" s="104"/>
      <c r="I153" s="32" t="str">
        <f>IF(B152&lt;'Умови та класичний графік'!$J$13,I152+J153,"")</f>
        <v/>
      </c>
      <c r="J153" s="32" t="str">
        <f>IF(B152&lt;'Умови та класичний графік'!$J$13,PPMT($J$20/12,B153,$J$12,$J$11,0,0),"")</f>
        <v/>
      </c>
      <c r="K153" s="32" t="str">
        <f>IF(B152&lt;'Умови та класичний графік'!$J$13,IPMT($J$20/12,B153,$J$12,$J$11,0,0),"")</f>
        <v/>
      </c>
      <c r="L153" s="30" t="str">
        <f>IF(B152&lt;'Умови та класичний графік'!$J$13,-(SUM(M153:V153)),"")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графік'!$J$13,XIRR($G$34:G153,$C$34:C153,0),"")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04" t="str">
        <f>IF(B153&lt;'Умови та класичний графік'!$J$13,-(SUM(J154:L154)),"")</f>
        <v/>
      </c>
      <c r="H154" s="104"/>
      <c r="I154" s="32" t="str">
        <f>IF(B153&lt;'Умови та класичний графік'!$J$13,I153+J154,"")</f>
        <v/>
      </c>
      <c r="J154" s="32" t="str">
        <f>IF(B153&lt;'Умови та класичний графік'!$J$13,PPMT($J$20/12,B154,$J$12,$J$11,0,0),"")</f>
        <v/>
      </c>
      <c r="K154" s="32" t="str">
        <f>IF(B153&lt;'Умови та класичний графік'!$J$13,IPMT($J$20/12,B154,$J$12,$J$11,0,0),"")</f>
        <v/>
      </c>
      <c r="L154" s="30" t="str">
        <f>IF(B153&lt;'Умови та класичний графік'!$J$13,-(SUM(M154:V154)),"")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графік'!$J$13,XIRR($G$34:G154,$C$34:C154,0),"")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04" t="str">
        <f>IF(B154&lt;'Умови та класичний графік'!$J$13,-(SUM(J155:L155)),"")</f>
        <v/>
      </c>
      <c r="H155" s="104"/>
      <c r="I155" s="32" t="str">
        <f>IF(B154&lt;'Умови та класичний графік'!$J$13,I154+J155,"")</f>
        <v/>
      </c>
      <c r="J155" s="32" t="str">
        <f>IF(B154&lt;'Умови та класичний графік'!$J$13,PPMT($J$20/12,B155,$J$12,$J$11,0,0),"")</f>
        <v/>
      </c>
      <c r="K155" s="32" t="str">
        <f>IF(B154&lt;'Умови та класичний графік'!$J$13,IPMT($J$20/12,B155,$J$12,$J$11,0,0),"")</f>
        <v/>
      </c>
      <c r="L155" s="30" t="str">
        <f>IF(B154&lt;'Умови та класичний графік'!$J$13,-(SUM(M155:V155)),"")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графік'!$J$13,XIRR($G$34:G155,$C$34:C155,0),"")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04" t="str">
        <f>IF(B155&lt;'Умови та класичний графік'!$J$13,-(SUM(J156:L156)),"")</f>
        <v/>
      </c>
      <c r="H156" s="104"/>
      <c r="I156" s="32" t="str">
        <f>IF(B155&lt;'Умови та класичний графік'!$J$13,I155+J156,"")</f>
        <v/>
      </c>
      <c r="J156" s="32" t="str">
        <f>IF(B155&lt;'Умови та класичний графік'!$J$13,PPMT($J$20/12,B156,$J$12,$J$11,0,0),"")</f>
        <v/>
      </c>
      <c r="K156" s="32" t="str">
        <f>IF(B155&lt;'Умови та класичний графік'!$J$13,IPMT($J$20/12,B156,$J$12,$J$11,0,0),"")</f>
        <v/>
      </c>
      <c r="L156" s="30" t="str">
        <f>IF(B155&lt;'Умови та класичний графік'!$J$13,-(SUM(M156:V156)),"")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графік'!$J$13,XIRR($G$34:G156,$C$34:C156,0),"")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04" t="str">
        <f>IF(B156&lt;'Умови та класичний графік'!$J$13,-(SUM(J157:L157)),"")</f>
        <v/>
      </c>
      <c r="H157" s="104"/>
      <c r="I157" s="32" t="str">
        <f>IF(B156&lt;'Умови та класичний графік'!$J$13,I156+J157,"")</f>
        <v/>
      </c>
      <c r="J157" s="32" t="str">
        <f>IF(B156&lt;'Умови та класичний графік'!$J$13,PPMT($J$20/12,B157,$J$12,$J$11,0,0),"")</f>
        <v/>
      </c>
      <c r="K157" s="32" t="str">
        <f>IF(B156&lt;'Умови та класичний графік'!$J$13,IPMT($J$20/12,B157,$J$12,$J$11,0,0),"")</f>
        <v/>
      </c>
      <c r="L157" s="30" t="str">
        <f>IF(B156&lt;'Умови та класичний графік'!$J$13,-(SUM(M157:V157)),"")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графік'!$J$13,XIRR($G$34:G157,$C$34:C157,0),"")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04" t="str">
        <f>IF(B157&lt;'Умови та класичний графік'!$J$13,-(SUM(J158:L158)),"")</f>
        <v/>
      </c>
      <c r="H158" s="104"/>
      <c r="I158" s="32" t="str">
        <f>IF(B157&lt;'Умови та класичний графік'!$J$13,I157+J158,"")</f>
        <v/>
      </c>
      <c r="J158" s="32" t="str">
        <f>IF(B157&lt;'Умови та класичний графік'!$J$13,PPMT($J$20/12,B158,$J$12,$J$11,0,0),"")</f>
        <v/>
      </c>
      <c r="K158" s="32" t="str">
        <f>IF(B157&lt;'Умови та класичний графік'!$J$13,IPMT($J$20/12,B158,$J$12,$J$11,0,0),"")</f>
        <v/>
      </c>
      <c r="L158" s="30" t="str">
        <f>IF(B157&lt;'Умови та класичний графік'!$J$13,-(SUM(M158:V158)),"")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графік'!$J$13,XIRR($G$34:G158,$C$34:C158,0),"")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04" t="str">
        <f>IF(B158&lt;'Умови та класичний графік'!$J$13,-(SUM(J159:L159)),"")</f>
        <v/>
      </c>
      <c r="H159" s="104"/>
      <c r="I159" s="32" t="str">
        <f>IF(B158&lt;'Умови та класичний графік'!$J$13,I158+J159,"")</f>
        <v/>
      </c>
      <c r="J159" s="32" t="str">
        <f>IF(B158&lt;'Умови та класичний графік'!$J$13,PPMT($J$20/12,B159,$J$12,$J$11,0,0),"")</f>
        <v/>
      </c>
      <c r="K159" s="32" t="str">
        <f>IF(B158&lt;'Умови та класичний графік'!$J$13,IPMT($J$20/12,B159,$J$12,$J$11,0,0),"")</f>
        <v/>
      </c>
      <c r="L159" s="30" t="str">
        <f>IF(B158&lt;'Умови та класичний графік'!$J$13,-(SUM(M159:V159)),"")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графік'!$J$13,XIRR($G$34:G159,$C$34:C159,0),"")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04" t="str">
        <f>IF(B159&lt;'Умови та класичний графік'!$J$13,-(SUM(J160:L160)),"")</f>
        <v/>
      </c>
      <c r="H160" s="104"/>
      <c r="I160" s="32" t="str">
        <f>IF(B159&lt;'Умови та класичний графік'!$J$13,I159+J160,"")</f>
        <v/>
      </c>
      <c r="J160" s="32" t="str">
        <f>IF(B159&lt;'Умови та класичний графік'!$J$13,PPMT($J$20/12,B160,$J$12,$J$11,0,0),"")</f>
        <v/>
      </c>
      <c r="K160" s="32" t="str">
        <f>IF(B159&lt;'Умови та класичний графік'!$J$13,IPMT($J$20/12,B160,$J$12,$J$11,0,0),"")</f>
        <v/>
      </c>
      <c r="L160" s="30" t="str">
        <f>IF(B159&lt;'Умови та класичний графік'!$J$13,-(SUM(M160:V160)),"")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графік'!$J$13,XIRR($G$34:G160,$C$34:C160,0),"")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04" t="str">
        <f>IF(B160&lt;'Умови та класичний графік'!$J$13,-(SUM(J161:L161)),"")</f>
        <v/>
      </c>
      <c r="H161" s="104"/>
      <c r="I161" s="32" t="str">
        <f>IF(B160&lt;'Умови та класичний графік'!$J$13,I160+J161,"")</f>
        <v/>
      </c>
      <c r="J161" s="32" t="str">
        <f>IF(B160&lt;'Умови та класичний графік'!$J$13,PPMT($J$20/12,B161,$J$12,$J$11,0,0),"")</f>
        <v/>
      </c>
      <c r="K161" s="32" t="str">
        <f>IF(B160&lt;'Умови та класичний графік'!$J$13,IPMT($J$20/12,B161,$J$12,$J$11,0,0),"")</f>
        <v/>
      </c>
      <c r="L161" s="30" t="str">
        <f>IF(B160&lt;'Умови та класичний графік'!$J$13,-(SUM(M161:V161)),"")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графік'!$J$13,XIRR($G$34:G161,$C$34:C161,0),"")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04" t="str">
        <f>IF(B161&lt;'Умови та класичний графік'!$J$13,-(SUM(J162:L162)),"")</f>
        <v/>
      </c>
      <c r="H162" s="104"/>
      <c r="I162" s="32" t="str">
        <f>IF(B161&lt;'Умови та класичний графік'!$J$13,I161+J162,"")</f>
        <v/>
      </c>
      <c r="J162" s="32" t="str">
        <f>IF(B161&lt;'Умови та класичний графік'!$J$13,PPMT($J$20/12,B162,$J$12,$J$11,0,0),"")</f>
        <v/>
      </c>
      <c r="K162" s="32" t="str">
        <f>IF(B161&lt;'Умови та класичний графік'!$J$13,IPMT($J$20/12,B162,$J$12,$J$11,0,0),"")</f>
        <v/>
      </c>
      <c r="L162" s="30" t="str">
        <f>IF(B161&lt;'Умови та класичний графік'!$J$13,-(SUM(M162:V162)),"")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графік'!$J$13,XIRR($G$34:G162,$C$34:C162,0),"")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04" t="str">
        <f>IF(B162&lt;'Умови та класичний графік'!$J$13,-(SUM(J163:L163)),"")</f>
        <v/>
      </c>
      <c r="H163" s="104"/>
      <c r="I163" s="32" t="str">
        <f>IF(B162&lt;'Умови та класичний графік'!$J$13,I162+J163,"")</f>
        <v/>
      </c>
      <c r="J163" s="32" t="str">
        <f>IF(B162&lt;'Умови та класичний графік'!$J$13,PPMT($J$20/12,B163,$J$12,$J$11,0,0),"")</f>
        <v/>
      </c>
      <c r="K163" s="32" t="str">
        <f>IF(B162&lt;'Умови та класичний графік'!$J$13,IPMT($J$20/12,B163,$J$12,$J$11,0,0),"")</f>
        <v/>
      </c>
      <c r="L163" s="30" t="str">
        <f>IF(B162&lt;'Умови та класичний графік'!$J$13,-(SUM(M163:V163)),"")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графік'!$J$13,XIRR($G$34:G163,$C$34:C163,0),"")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04" t="str">
        <f>IF(B163&lt;'Умови та класичний графік'!$J$13,-(SUM(J164:L164)),"")</f>
        <v/>
      </c>
      <c r="H164" s="104"/>
      <c r="I164" s="32" t="str">
        <f>IF(B163&lt;'Умови та класичний графік'!$J$13,I163+J164,"")</f>
        <v/>
      </c>
      <c r="J164" s="32" t="str">
        <f>IF(B163&lt;'Умови та класичний графік'!$J$13,PPMT($J$20/12,B164,$J$12,$J$11,0,0),"")</f>
        <v/>
      </c>
      <c r="K164" s="32" t="str">
        <f>IF(B163&lt;'Умови та класичний графік'!$J$13,IPMT($J$20/12,B164,$J$12,$J$11,0,0),"")</f>
        <v/>
      </c>
      <c r="L164" s="30" t="str">
        <f>IF(B163&lt;'Умови та класичний графік'!$J$13,-(SUM(M164:V164)),"")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графік'!$J$13,XIRR($G$34:G164,$C$34:C164,0),"")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04" t="str">
        <f>IF(B164&lt;'Умови та класичний графік'!$J$13,-(SUM(J165:L165)),"")</f>
        <v/>
      </c>
      <c r="H165" s="104"/>
      <c r="I165" s="32" t="str">
        <f>IF(B164&lt;'Умови та класичний графік'!$J$13,I164+J165,"")</f>
        <v/>
      </c>
      <c r="J165" s="32" t="str">
        <f>IF(B164&lt;'Умови та класичний графік'!$J$13,PPMT($J$20/12,B165,$J$12,$J$11,0,0),"")</f>
        <v/>
      </c>
      <c r="K165" s="32" t="str">
        <f>IF(B164&lt;'Умови та класичний графік'!$J$13,IPMT($J$20/12,B165,$J$12,$J$11,0,0),"")</f>
        <v/>
      </c>
      <c r="L165" s="30" t="str">
        <f>IF(B164&lt;'Умови та класичний графік'!$J$13,-(SUM(M165:V165)),"")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графік'!$J$13,XIRR($G$34:G165,$C$34:C165,0),"")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04" t="str">
        <f>IF(B165&lt;'Умови та класичний графік'!$J$13,-(SUM(J166:L166)),"")</f>
        <v/>
      </c>
      <c r="H166" s="104"/>
      <c r="I166" s="32" t="str">
        <f>IF(B165&lt;'Умови та класичний графік'!$J$13,I165+J166,"")</f>
        <v/>
      </c>
      <c r="J166" s="32" t="str">
        <f>IF(B165&lt;'Умови та класичний графік'!$J$13,PPMT($J$20/12,B166,$J$12,$J$11,0,0),"")</f>
        <v/>
      </c>
      <c r="K166" s="32" t="str">
        <f>IF(B165&lt;'Умови та класичний графік'!$J$13,IPMT($J$20/12,B166,$J$12,$J$11,0,0),"")</f>
        <v/>
      </c>
      <c r="L166" s="30" t="str">
        <f>IF(B165&lt;'Умови та класичний графік'!$J$13,-(SUM(M166:V166)),"")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графік'!$J$13,XIRR($G$34:G166,$C$34:C166,0),"")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04" t="str">
        <f>IF(B166&lt;'Умови та класичний графік'!$J$13,-(SUM(J167:L167)),"")</f>
        <v/>
      </c>
      <c r="H167" s="104"/>
      <c r="I167" s="32" t="str">
        <f>IF(B166&lt;'Умови та класичний графік'!$J$13,I166+J167,"")</f>
        <v/>
      </c>
      <c r="J167" s="32" t="str">
        <f>IF(B166&lt;'Умови та класичний графік'!$J$13,PPMT($J$20/12,B167,$J$12,$J$11,0,0),"")</f>
        <v/>
      </c>
      <c r="K167" s="32" t="str">
        <f>IF(B166&lt;'Умови та класичний графік'!$J$13,IPMT($J$20/12,B167,$J$12,$J$11,0,0),"")</f>
        <v/>
      </c>
      <c r="L167" s="30" t="str">
        <f>IF(B166&lt;'Умови та класичний графік'!$J$13,-(SUM(M167:V167)),"")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графік'!$J$13,XIRR($G$34:G167,$C$34:C167,0),"")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04" t="str">
        <f>IF(B167&lt;'Умови та класичний графік'!$J$13,-(SUM(J168:L168)),"")</f>
        <v/>
      </c>
      <c r="H168" s="104"/>
      <c r="I168" s="32" t="str">
        <f>IF(B167&lt;'Умови та класичний графік'!$J$13,I167+J168,"")</f>
        <v/>
      </c>
      <c r="J168" s="32" t="str">
        <f>IF(B167&lt;'Умови та класичний графік'!$J$13,PPMT($J$20/12,B168,$J$12,$J$11,0,0),"")</f>
        <v/>
      </c>
      <c r="K168" s="32" t="str">
        <f>IF(B167&lt;'Умови та класичний графік'!$J$13,IPMT($J$20/12,B168,$J$12,$J$11,0,0),"")</f>
        <v/>
      </c>
      <c r="L168" s="30" t="str">
        <f>IF(B167&lt;'Умови та класичний графік'!$J$13,-(SUM(M168:V168)),"")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графік'!$J$13,XIRR($G$34:G168,$C$34:C168,0),"")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04" t="str">
        <f>IF(B168&lt;'Умови та класичний графік'!$J$13,-(SUM(J169:L169)),"")</f>
        <v/>
      </c>
      <c r="H169" s="104"/>
      <c r="I169" s="32" t="str">
        <f>IF(B168&lt;'Умови та класичний графік'!$J$13,I168+J169,"")</f>
        <v/>
      </c>
      <c r="J169" s="32" t="str">
        <f>IF(B168&lt;'Умови та класичний графік'!$J$13,PPMT($J$20/12,B169,$J$12,$J$11,0,0),"")</f>
        <v/>
      </c>
      <c r="K169" s="32" t="str">
        <f>IF(B168&lt;'Умови та класичний графік'!$J$13,IPMT($J$20/12,B169,$J$12,$J$11,0,0),"")</f>
        <v/>
      </c>
      <c r="L169" s="30" t="str">
        <f>IF(B168&lt;'Умови та класичний графік'!$J$13,-(SUM(M169:V169)),"")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графік'!$J$13,XIRR($G$34:G169,$C$34:C169,0),"")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04" t="str">
        <f>IF(B169&lt;'Умови та класичний графік'!$J$13,-(SUM(J170:L170)),"")</f>
        <v/>
      </c>
      <c r="H170" s="104"/>
      <c r="I170" s="32" t="str">
        <f>IF(B169&lt;'Умови та класичний графік'!$J$13,I169+J170,"")</f>
        <v/>
      </c>
      <c r="J170" s="32" t="str">
        <f>IF(B169&lt;'Умови та класичний графік'!$J$13,PPMT($J$20/12,B170,$J$12,$J$11,0,0),"")</f>
        <v/>
      </c>
      <c r="K170" s="32" t="str">
        <f>IF(B169&lt;'Умови та класичний графік'!$J$13,IPMT($J$20/12,B170,$J$12,$J$11,0,0),"")</f>
        <v/>
      </c>
      <c r="L170" s="30" t="str">
        <f>IF(B169&lt;'Умови та класичний графік'!$J$13,-(SUM(M170:V170)),"")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графік'!$J$13,XIRR($G$34:G170,$C$34:C170,0),"")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04" t="str">
        <f>IF(B170&lt;'Умови та класичний графік'!$J$13,-(SUM(J171:L171)),"")</f>
        <v/>
      </c>
      <c r="H171" s="104"/>
      <c r="I171" s="32" t="str">
        <f>IF(B170&lt;'Умови та класичний графік'!$J$13,I170+J171,"")</f>
        <v/>
      </c>
      <c r="J171" s="32" t="str">
        <f>IF(B170&lt;'Умови та класичний графік'!$J$13,PPMT($J$20/12,B171,$J$12,$J$11,0,0),"")</f>
        <v/>
      </c>
      <c r="K171" s="32" t="str">
        <f>IF(B170&lt;'Умови та класичний графік'!$J$13,IPMT($J$20/12,B171,$J$12,$J$11,0,0),"")</f>
        <v/>
      </c>
      <c r="L171" s="30" t="str">
        <f>IF(B170&lt;'Умови та класичний графік'!$J$13,-(SUM(M171:V171)),"")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графік'!$J$13,XIRR($G$34:G171,$C$34:C171,0),"")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04" t="str">
        <f>IF(B171&lt;'Умови та класичний графік'!$J$13,-(SUM(J172:L172)),"")</f>
        <v/>
      </c>
      <c r="H172" s="104"/>
      <c r="I172" s="32" t="str">
        <f>IF(B171&lt;'Умови та класичний графік'!$J$13,I171+J172,"")</f>
        <v/>
      </c>
      <c r="J172" s="32" t="str">
        <f>IF(B171&lt;'Умови та класичний графік'!$J$13,PPMT($J$20/12,B172,$J$12,$J$11,0,0),"")</f>
        <v/>
      </c>
      <c r="K172" s="32" t="str">
        <f>IF(B171&lt;'Умови та класичний графік'!$J$13,IPMT($J$20/12,B172,$J$12,$J$11,0,0),"")</f>
        <v/>
      </c>
      <c r="L172" s="30" t="str">
        <f>IF(B171&lt;'Умови та класичний графік'!$J$13,-(SUM(M172:V172)),"")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графік'!$J$13,XIRR($G$34:G172,$C$34:C172,0),"")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04" t="str">
        <f>IF(B172&lt;'Умови та класичний графік'!$J$13,-(SUM(J173:L173)),"")</f>
        <v/>
      </c>
      <c r="H173" s="104"/>
      <c r="I173" s="32" t="str">
        <f>IF(B172&lt;'Умови та класичний графік'!$J$13,I172+J173,"")</f>
        <v/>
      </c>
      <c r="J173" s="32" t="str">
        <f>IF(B172&lt;'Умови та класичний графік'!$J$13,PPMT($J$20/12,B173,$J$12,$J$11,0,0),"")</f>
        <v/>
      </c>
      <c r="K173" s="32" t="str">
        <f>IF(B172&lt;'Умови та класичний графік'!$J$13,IPMT($J$20/12,B173,$J$12,$J$11,0,0),"")</f>
        <v/>
      </c>
      <c r="L173" s="30" t="str">
        <f>IF(B172&lt;'Умови та класичний графік'!$J$13,-(SUM(M173:V173)),"")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графік'!$J$13,XIRR($G$34:G173,$C$34:C173,0),"")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04" t="str">
        <f>IF(B173&lt;'Умови та класичний графік'!$J$13,-(SUM(J174:L174)),"")</f>
        <v/>
      </c>
      <c r="H174" s="104"/>
      <c r="I174" s="32" t="str">
        <f>IF(B173&lt;'Умови та класичний графік'!$J$13,I173+J174,"")</f>
        <v/>
      </c>
      <c r="J174" s="32" t="str">
        <f>IF(B173&lt;'Умови та класичний графік'!$J$13,PPMT($J$20/12,B174,$J$12,$J$11,0,0),"")</f>
        <v/>
      </c>
      <c r="K174" s="32" t="str">
        <f>IF(B173&lt;'Умови та класичний графік'!$J$13,IPMT($J$20/12,B174,$J$12,$J$11,0,0),"")</f>
        <v/>
      </c>
      <c r="L174" s="30" t="str">
        <f>IF(B173&lt;'Умови та класичний графік'!$J$13,-(SUM(M174:V174)),"")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графік'!$J$13,XIRR($G$34:G174,$C$34:C174,0),"")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04" t="str">
        <f>IF(B174&lt;'Умови та класичний графік'!$J$13,-(SUM(J175:L175)),"")</f>
        <v/>
      </c>
      <c r="H175" s="104"/>
      <c r="I175" s="32" t="str">
        <f>IF(B174&lt;'Умови та класичний графік'!$J$13,I174+J175,"")</f>
        <v/>
      </c>
      <c r="J175" s="32" t="str">
        <f>IF(B174&lt;'Умови та класичний графік'!$J$13,PPMT($J$20/12,B175,$J$12,$J$11,0,0),"")</f>
        <v/>
      </c>
      <c r="K175" s="32" t="str">
        <f>IF(B174&lt;'Умови та класичний графік'!$J$13,IPMT($J$20/12,B175,$J$12,$J$11,0,0),"")</f>
        <v/>
      </c>
      <c r="L175" s="30" t="str">
        <f>IF(B174&lt;'Умови та класичний графік'!$J$13,-(SUM(M175:V175)),"")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графік'!$J$13,XIRR($G$34:G175,$C$34:C175,0),"")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04" t="str">
        <f>IF(B175&lt;'Умови та класичний графік'!$J$13,-(SUM(J176:L176)),"")</f>
        <v/>
      </c>
      <c r="H176" s="104"/>
      <c r="I176" s="32" t="str">
        <f>IF(B175&lt;'Умови та класичний графік'!$J$13,I175+J176,"")</f>
        <v/>
      </c>
      <c r="J176" s="32" t="str">
        <f>IF(B175&lt;'Умови та класичний графік'!$J$13,PPMT($J$20/12,B176,$J$12,$J$11,0,0),"")</f>
        <v/>
      </c>
      <c r="K176" s="32" t="str">
        <f>IF(B175&lt;'Умови та класичний графік'!$J$13,IPMT($J$20/12,B176,$J$12,$J$11,0,0),"")</f>
        <v/>
      </c>
      <c r="L176" s="30" t="str">
        <f>IF(B175&lt;'Умови та класичний графік'!$J$13,-(SUM(M176:V176)),"")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графік'!$J$13,XIRR($G$34:G176,$C$34:C176,0),"")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04" t="str">
        <f>IF(B176&lt;'Умови та класичний графік'!$J$13,-(SUM(J177:L177)),"")</f>
        <v/>
      </c>
      <c r="H177" s="104"/>
      <c r="I177" s="32" t="str">
        <f>IF(B176&lt;'Умови та класичний графік'!$J$13,I176+J177,"")</f>
        <v/>
      </c>
      <c r="J177" s="32" t="str">
        <f>IF(B176&lt;'Умови та класичний графік'!$J$13,PPMT($J$20/12,B177,$J$12,$J$11,0,0),"")</f>
        <v/>
      </c>
      <c r="K177" s="32" t="str">
        <f>IF(B176&lt;'Умови та класичний графік'!$J$13,IPMT($J$20/12,B177,$J$12,$J$11,0,0),"")</f>
        <v/>
      </c>
      <c r="L177" s="30" t="str">
        <f>IF(B176&lt;'Умови та класичний графік'!$J$13,-(SUM(M177:V177)),"")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графік'!$J$13,XIRR($G$34:G177,$C$34:C177,0),"")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04" t="str">
        <f>IF(B177&lt;'Умови та класичний графік'!$J$13,-(SUM(J178:L178)),"")</f>
        <v/>
      </c>
      <c r="H178" s="104"/>
      <c r="I178" s="32" t="str">
        <f>IF(B177&lt;'Умови та класичний графік'!$J$13,I177+J178,"")</f>
        <v/>
      </c>
      <c r="J178" s="32" t="str">
        <f>IF(B177&lt;'Умови та класичний графік'!$J$13,PPMT($J$20/12,B178,$J$12,$J$11,0,0),"")</f>
        <v/>
      </c>
      <c r="K178" s="32" t="str">
        <f>IF(B177&lt;'Умови та класичний графік'!$J$13,IPMT($J$20/12,B178,$J$12,$J$11,0,0),"")</f>
        <v/>
      </c>
      <c r="L178" s="30" t="str">
        <f>IF(B177&lt;'Умови та класичний графік'!$J$13,-(SUM(M178:V178)),"")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графік'!$J$13,XIRR($G$34:G178,$C$34:C178,0),"")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04" t="str">
        <f>IF(B178&lt;'Умови та класичний графік'!$J$13,-(SUM(J179:L179)),"")</f>
        <v/>
      </c>
      <c r="H179" s="104"/>
      <c r="I179" s="32" t="str">
        <f>IF(B178&lt;'Умови та класичний графік'!$J$13,I178+J179,"")</f>
        <v/>
      </c>
      <c r="J179" s="32" t="str">
        <f>IF(B178&lt;'Умови та класичний графік'!$J$13,PPMT($J$20/12,B179,$J$12,$J$11,0,0),"")</f>
        <v/>
      </c>
      <c r="K179" s="32" t="str">
        <f>IF(B178&lt;'Умови та класичний графік'!$J$13,IPMT($J$20/12,B179,$J$12,$J$11,0,0),"")</f>
        <v/>
      </c>
      <c r="L179" s="30" t="str">
        <f>IF(B178&lt;'Умови та класичний графік'!$J$13,-(SUM(M179:V179)),"")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графік'!$J$13,XIRR($G$34:G179,$C$34:C179,0),"")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04" t="str">
        <f>IF(B179&lt;'Умови та класичний графік'!$J$13,-(SUM(J180:L180)),"")</f>
        <v/>
      </c>
      <c r="H180" s="104"/>
      <c r="I180" s="32" t="str">
        <f>IF(B179&lt;'Умови та класичний графік'!$J$13,I179+J180,"")</f>
        <v/>
      </c>
      <c r="J180" s="32" t="str">
        <f>IF(B179&lt;'Умови та класичний графік'!$J$13,PPMT($J$20/12,B180,$J$12,$J$11,0,0),"")</f>
        <v/>
      </c>
      <c r="K180" s="32" t="str">
        <f>IF(B179&lt;'Умови та класичний графік'!$J$13,IPMT($J$20/12,B180,$J$12,$J$11,0,0),"")</f>
        <v/>
      </c>
      <c r="L180" s="30" t="str">
        <f>IF(B179&lt;'Умови та класичний графік'!$J$13,-(SUM(M180:V180)),"")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графік'!$J$13,XIRR($G$34:G180,$C$34:C180,0),"")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04" t="str">
        <f>IF(B180&lt;'Умови та класичний графік'!$J$13,-(SUM(J181:L181)),"")</f>
        <v/>
      </c>
      <c r="H181" s="104"/>
      <c r="I181" s="32" t="str">
        <f>IF(B180&lt;'Умови та класичний графік'!$J$13,I180+J181,"")</f>
        <v/>
      </c>
      <c r="J181" s="32" t="str">
        <f>IF(B180&lt;'Умови та класичний графік'!$J$13,PPMT($J$20/12,B181,$J$12,$J$11,0,0),"")</f>
        <v/>
      </c>
      <c r="K181" s="32" t="str">
        <f>IF(B180&lt;'Умови та класичний графік'!$J$13,IPMT($J$20/12,B181,$J$12,$J$11,0,0),"")</f>
        <v/>
      </c>
      <c r="L181" s="30" t="str">
        <f>IF(B180&lt;'Умови та класичний графік'!$J$13,-(SUM(M181:V181)),"")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графік'!$J$13,XIRR($G$34:G181,$C$34:C181,0),"")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04" t="str">
        <f>IF(B181&lt;'Умови та класичний графік'!$J$13,-(SUM(J182:L182)),"")</f>
        <v/>
      </c>
      <c r="H182" s="104"/>
      <c r="I182" s="32" t="str">
        <f>IF(B181&lt;'Умови та класичний графік'!$J$13,I181+J182,"")</f>
        <v/>
      </c>
      <c r="J182" s="32" t="str">
        <f>IF(B181&lt;'Умови та класичний графік'!$J$13,PPMT($J$20/12,B182,$J$12,$J$11,0,0),"")</f>
        <v/>
      </c>
      <c r="K182" s="32" t="str">
        <f>IF(B181&lt;'Умови та класичний графік'!$J$13,IPMT($J$20/12,B182,$J$12,$J$11,0,0),"")</f>
        <v/>
      </c>
      <c r="L182" s="30" t="str">
        <f>IF(B181&lt;'Умови та класичний графік'!$J$13,-(SUM(M182:V182)),"")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графік'!$J$13,XIRR($G$34:G182,$C$34:C182,0),"")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04" t="str">
        <f>IF(B182&lt;'Умови та класичний графік'!$J$13,-(SUM(J183:L183)),"")</f>
        <v/>
      </c>
      <c r="H183" s="104"/>
      <c r="I183" s="32" t="str">
        <f>IF(B182&lt;'Умови та класичний графік'!$J$13,I182+J183,"")</f>
        <v/>
      </c>
      <c r="J183" s="32" t="str">
        <f>IF(B182&lt;'Умови та класичний графік'!$J$13,PPMT($J$20/12,B183,$J$12,$J$11,0,0),"")</f>
        <v/>
      </c>
      <c r="K183" s="32" t="str">
        <f>IF(B182&lt;'Умови та класичний графік'!$J$13,IPMT($J$20/12,B183,$J$12,$J$11,0,0),"")</f>
        <v/>
      </c>
      <c r="L183" s="30" t="str">
        <f>IF(B182&lt;'Умови та класичний графік'!$J$13,-(SUM(M183:V183)),"")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графік'!$J$13,XIRR($G$34:G183,$C$34:C183,0),"")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04" t="str">
        <f>IF(B183&lt;'Умови та класичний графік'!$J$13,-(SUM(J184:L184)),"")</f>
        <v/>
      </c>
      <c r="H184" s="104"/>
      <c r="I184" s="32" t="str">
        <f>IF(B183&lt;'Умови та класичний графік'!$J$13,I183+J184,"")</f>
        <v/>
      </c>
      <c r="J184" s="32" t="str">
        <f>IF(B183&lt;'Умови та класичний графік'!$J$13,PPMT($J$20/12,B184,$J$12,$J$11,0,0),"")</f>
        <v/>
      </c>
      <c r="K184" s="32" t="str">
        <f>IF(B183&lt;'Умови та класичний графік'!$J$13,IPMT($J$20/12,B184,$J$12,$J$11,0,0),"")</f>
        <v/>
      </c>
      <c r="L184" s="30" t="str">
        <f>IF(B183&lt;'Умови та класичний графік'!$J$13,-(SUM(M184:V184)),"")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графік'!$J$13,XIRR($G$34:G184,$C$34:C184,0),"")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04" t="str">
        <f>IF(B184&lt;'Умови та класичний графік'!$J$13,-(SUM(J185:L185)),"")</f>
        <v/>
      </c>
      <c r="H185" s="104"/>
      <c r="I185" s="32" t="str">
        <f>IF(B184&lt;'Умови та класичний графік'!$J$13,I184+J185,"")</f>
        <v/>
      </c>
      <c r="J185" s="32" t="str">
        <f>IF(B184&lt;'Умови та класичний графік'!$J$13,PPMT($J$20/12,B185,$J$12,$J$11,0,0),"")</f>
        <v/>
      </c>
      <c r="K185" s="32" t="str">
        <f>IF(B184&lt;'Умови та класичний графік'!$J$13,IPMT($J$20/12,B185,$J$12,$J$11,0,0),"")</f>
        <v/>
      </c>
      <c r="L185" s="30" t="str">
        <f>IF(B184&lt;'Умови та класичний графік'!$J$13,-(SUM(M185:V185)),"")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графік'!$J$13,XIRR($G$34:G185,$C$34:C185,0),"")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04" t="str">
        <f>IF(B185&lt;'Умови та класичний графік'!$J$13,-(SUM(J186:L186)),"")</f>
        <v/>
      </c>
      <c r="H186" s="104"/>
      <c r="I186" s="32" t="str">
        <f>IF(B185&lt;'Умови та класичний графік'!$J$13,I185+J186,"")</f>
        <v/>
      </c>
      <c r="J186" s="32" t="str">
        <f>IF(B185&lt;'Умови та класичний графік'!$J$13,PPMT($J$20/12,B186,$J$12,$J$11,0,0),"")</f>
        <v/>
      </c>
      <c r="K186" s="32" t="str">
        <f>IF(B185&lt;'Умови та класичний графік'!$J$13,IPMT($J$20/12,B186,$J$12,$J$11,0,0),"")</f>
        <v/>
      </c>
      <c r="L186" s="30" t="str">
        <f>IF(B185&lt;'Умови та класичний графік'!$J$13,-(SUM(M186:V186)),"")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графік'!$J$13,XIRR($G$34:G186,$C$34:C186,0),"")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04" t="str">
        <f>IF(B186&lt;'Умови та класичний графік'!$J$13,-(SUM(J187:L187)),"")</f>
        <v/>
      </c>
      <c r="H187" s="104"/>
      <c r="I187" s="32" t="str">
        <f>IF(B186&lt;'Умови та класичний графік'!$J$13,I186+J187,"")</f>
        <v/>
      </c>
      <c r="J187" s="32" t="str">
        <f>IF(B186&lt;'Умови та класичний графік'!$J$13,PPMT($J$20/12,B187,$J$12,$J$11,0,0),"")</f>
        <v/>
      </c>
      <c r="K187" s="32" t="str">
        <f>IF(B186&lt;'Умови та класичний графік'!$J$13,IPMT($J$20/12,B187,$J$12,$J$11,0,0),"")</f>
        <v/>
      </c>
      <c r="L187" s="30" t="str">
        <f>IF(B186&lt;'Умови та класичний графік'!$J$13,-(SUM(M187:V187)),"")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графік'!$J$13,XIRR($G$34:G187,$C$34:C187,0),"")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04" t="str">
        <f>IF(B187&lt;'Умови та класичний графік'!$J$13,-(SUM(J188:L188)),"")</f>
        <v/>
      </c>
      <c r="H188" s="104"/>
      <c r="I188" s="32" t="str">
        <f>IF(B187&lt;'Умови та класичний графік'!$J$13,I187+J188,"")</f>
        <v/>
      </c>
      <c r="J188" s="32" t="str">
        <f>IF(B187&lt;'Умови та класичний графік'!$J$13,PPMT($J$20/12,B188,$J$12,$J$11,0,0),"")</f>
        <v/>
      </c>
      <c r="K188" s="32" t="str">
        <f>IF(B187&lt;'Умови та класичний графік'!$J$13,IPMT($J$20/12,B188,$J$12,$J$11,0,0),"")</f>
        <v/>
      </c>
      <c r="L188" s="30" t="str">
        <f>IF(B187&lt;'Умови та класичний графік'!$J$13,-(SUM(M188:V188)),"")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графік'!$J$13,XIRR($G$34:G188,$C$34:C188,0),"")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04" t="str">
        <f>IF(B188&lt;'Умови та класичний графік'!$J$13,-(SUM(J189:L189)),"")</f>
        <v/>
      </c>
      <c r="H189" s="104"/>
      <c r="I189" s="32" t="str">
        <f>IF(B188&lt;'Умови та класичний графік'!$J$13,I188+J189,"")</f>
        <v/>
      </c>
      <c r="J189" s="32" t="str">
        <f>IF(B188&lt;'Умови та класичний графік'!$J$13,PPMT($J$20/12,B189,$J$12,$J$11,0,0),"")</f>
        <v/>
      </c>
      <c r="K189" s="32" t="str">
        <f>IF(B188&lt;'Умови та класичний графік'!$J$13,IPMT($J$20/12,B189,$J$12,$J$11,0,0),"")</f>
        <v/>
      </c>
      <c r="L189" s="30" t="str">
        <f>IF(B188&lt;'Умови та класичний графік'!$J$13,-(SUM(M189:V189)),"")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графік'!$J$13,XIRR($G$34:G189,$C$34:C189,0),"")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04" t="str">
        <f>IF(B189&lt;'Умови та класичний графік'!$J$13,-(SUM(J190:L190)),"")</f>
        <v/>
      </c>
      <c r="H190" s="104"/>
      <c r="I190" s="32" t="str">
        <f>IF(B189&lt;'Умови та класичний графік'!$J$13,I189+J190,"")</f>
        <v/>
      </c>
      <c r="J190" s="32" t="str">
        <f>IF(B189&lt;'Умови та класичний графік'!$J$13,PPMT($J$20/12,B190,$J$12,$J$11,0,0),"")</f>
        <v/>
      </c>
      <c r="K190" s="32" t="str">
        <f>IF(B189&lt;'Умови та класичний графік'!$J$13,IPMT($J$20/12,B190,$J$12,$J$11,0,0),"")</f>
        <v/>
      </c>
      <c r="L190" s="30" t="str">
        <f>IF(B189&lt;'Умови та класичний графік'!$J$13,-(SUM(M190:V190)),"")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графік'!$J$13,XIRR($G$34:G190,$C$34:C190,0),"")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04" t="str">
        <f>IF(B190&lt;'Умови та класичний графік'!$J$13,-(SUM(J191:L191)),"")</f>
        <v/>
      </c>
      <c r="H191" s="104"/>
      <c r="I191" s="32" t="str">
        <f>IF(B190&lt;'Умови та класичний графік'!$J$13,I190+J191,"")</f>
        <v/>
      </c>
      <c r="J191" s="32" t="str">
        <f>IF(B190&lt;'Умови та класичний графік'!$J$13,PPMT($J$20/12,B191,$J$12,$J$11,0,0),"")</f>
        <v/>
      </c>
      <c r="K191" s="32" t="str">
        <f>IF(B190&lt;'Умови та класичний графік'!$J$13,IPMT($J$20/12,B191,$J$12,$J$11,0,0),"")</f>
        <v/>
      </c>
      <c r="L191" s="30" t="str">
        <f>IF(B190&lt;'Умови та класичний графік'!$J$13,-(SUM(M191:V191)),"")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графік'!$J$13,XIRR($G$34:G191,$C$34:C191,0),"")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04" t="str">
        <f>IF(B191&lt;'Умови та класичний графік'!$J$13,-(SUM(J192:L192)),"")</f>
        <v/>
      </c>
      <c r="H192" s="104"/>
      <c r="I192" s="32" t="str">
        <f>IF(B191&lt;'Умови та класичний графік'!$J$13,I191+J192,"")</f>
        <v/>
      </c>
      <c r="J192" s="32" t="str">
        <f>IF(B191&lt;'Умови та класичний графік'!$J$13,PPMT($J$20/12,B192,$J$12,$J$11,0,0),"")</f>
        <v/>
      </c>
      <c r="K192" s="32" t="str">
        <f>IF(B191&lt;'Умови та класичний графік'!$J$13,IPMT($J$20/12,B192,$J$12,$J$11,0,0),"")</f>
        <v/>
      </c>
      <c r="L192" s="30" t="str">
        <f>IF(B191&lt;'Умови та класичний графік'!$J$13,-(SUM(M192:V192)),"")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графік'!$J$13,XIRR($G$34:G192,$C$34:C192,0),"")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04" t="str">
        <f>IF(B192&lt;'Умови та класичний графік'!$J$13,-(SUM(J193:L193)),"")</f>
        <v/>
      </c>
      <c r="H193" s="104"/>
      <c r="I193" s="32" t="str">
        <f>IF(B192&lt;'Умови та класичний графік'!$J$13,I192+J193,"")</f>
        <v/>
      </c>
      <c r="J193" s="32" t="str">
        <f>IF(B192&lt;'Умови та класичний графік'!$J$13,PPMT($J$20/12,B193,$J$12,$J$11,0,0),"")</f>
        <v/>
      </c>
      <c r="K193" s="32" t="str">
        <f>IF(B192&lt;'Умови та класичний графік'!$J$13,IPMT($J$20/12,B193,$J$12,$J$11,0,0),"")</f>
        <v/>
      </c>
      <c r="L193" s="30" t="str">
        <f>IF(B192&lt;'Умови та класичний графік'!$J$13,-(SUM(M193:V193)),"")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графік'!$J$13,XIRR($G$34:G193,$C$34:C193,0),"")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04" t="str">
        <f>IF(B193&lt;'Умови та класичний графік'!$J$13,-(SUM(J194:L194)),"")</f>
        <v/>
      </c>
      <c r="H194" s="104"/>
      <c r="I194" s="32" t="str">
        <f>IF(B193&lt;'Умови та класичний графік'!$J$13,I193+J194,"")</f>
        <v/>
      </c>
      <c r="J194" s="32" t="str">
        <f>IF(B193&lt;'Умови та класичний графік'!$J$13,PPMT($J$20/12,B194,$J$12,$J$11,0,0),"")</f>
        <v/>
      </c>
      <c r="K194" s="32" t="str">
        <f>IF(B193&lt;'Умови та класичний графік'!$J$13,IPMT($J$20/12,B194,$J$12,$J$11,0,0),"")</f>
        <v/>
      </c>
      <c r="L194" s="30" t="str">
        <f>IF(B193&lt;'Умови та класичний графік'!$J$13,-(SUM(M194:V194)),"")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графік'!$J$13,XIRR($G$34:G194,$C$34:C194,0),"")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04" t="str">
        <f>IF(B194&lt;'Умови та класичний графік'!$J$13,-(SUM(J195:L195)),"")</f>
        <v/>
      </c>
      <c r="H195" s="104"/>
      <c r="I195" s="32" t="str">
        <f>IF(B194&lt;'Умови та класичний графік'!$J$13,I194+J195,"")</f>
        <v/>
      </c>
      <c r="J195" s="32" t="str">
        <f>IF(B194&lt;'Умови та класичний графік'!$J$13,PPMT($J$20/12,B195,$J$12,$J$11,0,0),"")</f>
        <v/>
      </c>
      <c r="K195" s="32" t="str">
        <f>IF(B194&lt;'Умови та класичний графік'!$J$13,IPMT($J$20/12,B195,$J$12,$J$11,0,0),"")</f>
        <v/>
      </c>
      <c r="L195" s="30" t="str">
        <f>IF(B194&lt;'Умови та класичний графік'!$J$13,-(SUM(M195:V195)),"")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графік'!$J$13,XIRR($G$34:G195,$C$34:C195,0),"")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04" t="str">
        <f>IF(B195&lt;'Умови та класичний графік'!$J$13,-(SUM(J196:L196)),"")</f>
        <v/>
      </c>
      <c r="H196" s="104"/>
      <c r="I196" s="32" t="str">
        <f>IF(B195&lt;'Умови та класичний графік'!$J$13,I195+J196,"")</f>
        <v/>
      </c>
      <c r="J196" s="32" t="str">
        <f>IF(B195&lt;'Умови та класичний графік'!$J$13,PPMT($J$20/12,B196,$J$12,$J$11,0,0),"")</f>
        <v/>
      </c>
      <c r="K196" s="32" t="str">
        <f>IF(B195&lt;'Умови та класичний графік'!$J$13,IPMT($J$20/12,B196,$J$12,$J$11,0,0),"")</f>
        <v/>
      </c>
      <c r="L196" s="30" t="str">
        <f>IF(B195&lt;'Умови та класичний графік'!$J$13,-(SUM(M196:V196)),"")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графік'!$J$13,XIRR($G$34:G196,$C$34:C196,0),"")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04" t="str">
        <f>IF(B196&lt;'Умови та класичний графік'!$J$13,-(SUM(J197:L197)),"")</f>
        <v/>
      </c>
      <c r="H197" s="104"/>
      <c r="I197" s="32" t="str">
        <f>IF(B196&lt;'Умови та класичний графік'!$J$13,I196+J197,"")</f>
        <v/>
      </c>
      <c r="J197" s="32" t="str">
        <f>IF(B196&lt;'Умови та класичний графік'!$J$13,PPMT($J$20/12,B197,$J$12,$J$11,0,0),"")</f>
        <v/>
      </c>
      <c r="K197" s="32" t="str">
        <f>IF(B196&lt;'Умови та класичний графік'!$J$13,IPMT($J$20/12,B197,$J$12,$J$11,0,0),"")</f>
        <v/>
      </c>
      <c r="L197" s="30" t="str">
        <f>IF(B196&lt;'Умови та класичний графік'!$J$13,-(SUM(M197:V197)),"")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графік'!$J$13,XIRR($G$34:G197,$C$34:C197,0),"")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04" t="str">
        <f>IF(B197&lt;'Умови та класичний графік'!$J$13,-(SUM(J198:L198)),"")</f>
        <v/>
      </c>
      <c r="H198" s="104"/>
      <c r="I198" s="32" t="str">
        <f>IF(B197&lt;'Умови та класичний графік'!$J$13,I197+J198,"")</f>
        <v/>
      </c>
      <c r="J198" s="32" t="str">
        <f>IF(B197&lt;'Умови та класичний графік'!$J$13,PPMT($J$20/12,B198,$J$12,$J$11,0,0),"")</f>
        <v/>
      </c>
      <c r="K198" s="32" t="str">
        <f>IF(B197&lt;'Умови та класичний графік'!$J$13,IPMT($J$20/12,B198,$J$12,$J$11,0,0),"")</f>
        <v/>
      </c>
      <c r="L198" s="30" t="str">
        <f>IF(B197&lt;'Умови та класичний графік'!$J$13,-(SUM(M198:V198)),"")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графік'!$J$13,XIRR($G$34:G198,$C$34:C198,0),"")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04" t="str">
        <f>IF(B198&lt;'Умови та класичний графік'!$J$13,-(SUM(J199:L199)),"")</f>
        <v/>
      </c>
      <c r="H199" s="104"/>
      <c r="I199" s="32" t="str">
        <f>IF(B198&lt;'Умови та класичний графік'!$J$13,I198+J199,"")</f>
        <v/>
      </c>
      <c r="J199" s="32" t="str">
        <f>IF(B198&lt;'Умови та класичний графік'!$J$13,PPMT($J$20/12,B199,$J$12,$J$11,0,0),"")</f>
        <v/>
      </c>
      <c r="K199" s="32" t="str">
        <f>IF(B198&lt;'Умови та класичний графік'!$J$13,IPMT($J$20/12,B199,$J$12,$J$11,0,0),"")</f>
        <v/>
      </c>
      <c r="L199" s="30" t="str">
        <f>IF(B198&lt;'Умови та класичний графік'!$J$13,-(SUM(M199:V199)),"")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графік'!$J$13,XIRR($G$34:G199,$C$34:C199,0),"")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04" t="str">
        <f>IF(B199&lt;'Умови та класичний графік'!$J$13,-(SUM(J200:L200)),"")</f>
        <v/>
      </c>
      <c r="H200" s="104"/>
      <c r="I200" s="32" t="str">
        <f>IF(B199&lt;'Умови та класичний графік'!$J$13,I199+J200,"")</f>
        <v/>
      </c>
      <c r="J200" s="32" t="str">
        <f>IF(B199&lt;'Умови та класичний графік'!$J$13,PPMT($J$20/12,B200,$J$12,$J$11,0,0),"")</f>
        <v/>
      </c>
      <c r="K200" s="32" t="str">
        <f>IF(B199&lt;'Умови та класичний графік'!$J$13,IPMT($J$20/12,B200,$J$12,$J$11,0,0),"")</f>
        <v/>
      </c>
      <c r="L200" s="30" t="str">
        <f>IF(B199&lt;'Умови та класичний графік'!$J$13,-(SUM(M200:V200)),"")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графік'!$J$13,XIRR($G$34:G200,$C$34:C200,0),"")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04" t="str">
        <f>IF(B200&lt;'Умови та класичний графік'!$J$13,-(SUM(J201:L201)),"")</f>
        <v/>
      </c>
      <c r="H201" s="104"/>
      <c r="I201" s="32" t="str">
        <f>IF(B200&lt;'Умови та класичний графік'!$J$13,I200+J201,"")</f>
        <v/>
      </c>
      <c r="J201" s="32" t="str">
        <f>IF(B200&lt;'Умови та класичний графік'!$J$13,PPMT($J$20/12,B201,$J$12,$J$11,0,0),"")</f>
        <v/>
      </c>
      <c r="K201" s="32" t="str">
        <f>IF(B200&lt;'Умови та класичний графік'!$J$13,IPMT($J$20/12,B201,$J$12,$J$11,0,0),"")</f>
        <v/>
      </c>
      <c r="L201" s="30" t="str">
        <f>IF(B200&lt;'Умови та класичний графік'!$J$13,-(SUM(M201:V201)),"")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графік'!$J$13,XIRR($G$34:G201,$C$34:C201,0),"")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04" t="str">
        <f>IF(B201&lt;'Умови та класичний графік'!$J$13,-(SUM(J202:L202)),"")</f>
        <v/>
      </c>
      <c r="H202" s="104"/>
      <c r="I202" s="32" t="str">
        <f>IF(B201&lt;'Умови та класичний графік'!$J$13,I201+J202,"")</f>
        <v/>
      </c>
      <c r="J202" s="32" t="str">
        <f>IF(B201&lt;'Умови та класичний графік'!$J$13,PPMT($J$20/12,B202,$J$12,$J$11,0,0),"")</f>
        <v/>
      </c>
      <c r="K202" s="32" t="str">
        <f>IF(B201&lt;'Умови та класичний графік'!$J$13,IPMT($J$20/12,B202,$J$12,$J$11,0,0),"")</f>
        <v/>
      </c>
      <c r="L202" s="30" t="str">
        <f>IF(B201&lt;'Умови та класичний графік'!$J$13,-(SUM(M202:V202)),"")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графік'!$J$13,XIRR($G$34:G202,$C$34:C202,0),"")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04" t="str">
        <f>IF(B202&lt;'Умови та класичний графік'!$J$13,-(SUM(J203:L203)),"")</f>
        <v/>
      </c>
      <c r="H203" s="104"/>
      <c r="I203" s="32" t="str">
        <f>IF(B202&lt;'Умови та класичний графік'!$J$13,I202+J203,"")</f>
        <v/>
      </c>
      <c r="J203" s="32" t="str">
        <f>IF(B202&lt;'Умови та класичний графік'!$J$13,PPMT($J$20/12,B203,$J$12,$J$11,0,0),"")</f>
        <v/>
      </c>
      <c r="K203" s="32" t="str">
        <f>IF(B202&lt;'Умови та класичний графік'!$J$13,IPMT($J$20/12,B203,$J$12,$J$11,0,0),"")</f>
        <v/>
      </c>
      <c r="L203" s="30" t="str">
        <f>IF(B202&lt;'Умови та класичний графік'!$J$13,-(SUM(M203:V203)),"")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графік'!$J$13,XIRR($G$34:G203,$C$34:C203,0),"")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04" t="str">
        <f>IF(B203&lt;'Умови та класичний графік'!$J$13,-(SUM(J204:L204)),"")</f>
        <v/>
      </c>
      <c r="H204" s="104"/>
      <c r="I204" s="32" t="str">
        <f>IF(B203&lt;'Умови та класичний графік'!$J$13,I203+J204,"")</f>
        <v/>
      </c>
      <c r="J204" s="32" t="str">
        <f>IF(B203&lt;'Умови та класичний графік'!$J$13,PPMT($J$20/12,B204,$J$12,$J$11,0,0),"")</f>
        <v/>
      </c>
      <c r="K204" s="32" t="str">
        <f>IF(B203&lt;'Умови та класичний графік'!$J$13,IPMT($J$20/12,B204,$J$12,$J$11,0,0),"")</f>
        <v/>
      </c>
      <c r="L204" s="30" t="str">
        <f>IF(B203&lt;'Умови та класичний графік'!$J$13,-(SUM(M204:V204)),"")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графік'!$J$13,XIRR($G$34:G204,$C$34:C204,0),"")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04" t="str">
        <f>IF(B204&lt;'Умови та класичний графік'!$J$13,-(SUM(J205:L205)),"")</f>
        <v/>
      </c>
      <c r="H205" s="104"/>
      <c r="I205" s="32" t="str">
        <f>IF(B204&lt;'Умови та класичний графік'!$J$13,I204+J205,"")</f>
        <v/>
      </c>
      <c r="J205" s="32" t="str">
        <f>IF(B204&lt;'Умови та класичний графік'!$J$13,PPMT($J$20/12,B205,$J$12,$J$11,0,0),"")</f>
        <v/>
      </c>
      <c r="K205" s="32" t="str">
        <f>IF(B204&lt;'Умови та класичний графік'!$J$13,IPMT($J$20/12,B205,$J$12,$J$11,0,0),"")</f>
        <v/>
      </c>
      <c r="L205" s="30" t="str">
        <f>IF(B204&lt;'Умови та класичний графік'!$J$13,-(SUM(M205:V205)),"")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графік'!$J$13,XIRR($G$34:G205,$C$34:C205,0),"")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04" t="str">
        <f>IF(B205&lt;'Умови та класичний графік'!$J$13,-(SUM(J206:L206)),"")</f>
        <v/>
      </c>
      <c r="H206" s="104"/>
      <c r="I206" s="32" t="str">
        <f>IF(B205&lt;'Умови та класичний графік'!$J$13,I205+J206,"")</f>
        <v/>
      </c>
      <c r="J206" s="32" t="str">
        <f>IF(B205&lt;'Умови та класичний графік'!$J$13,PPMT($J$20/12,B206,$J$12,$J$11,0,0),"")</f>
        <v/>
      </c>
      <c r="K206" s="32" t="str">
        <f>IF(B205&lt;'Умови та класичний графік'!$J$13,IPMT($J$20/12,B206,$J$12,$J$11,0,0),"")</f>
        <v/>
      </c>
      <c r="L206" s="30" t="str">
        <f>IF(B205&lt;'Умови та класичний графік'!$J$13,-(SUM(M206:V206)),"")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графік'!$J$13,XIRR($G$34:G206,$C$34:C206,0),"")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04" t="str">
        <f>IF(B206&lt;'Умови та класичний графік'!$J$13,-(SUM(J207:L207)),"")</f>
        <v/>
      </c>
      <c r="H207" s="104"/>
      <c r="I207" s="32" t="str">
        <f>IF(B206&lt;'Умови та класичний графік'!$J$13,I206+J207,"")</f>
        <v/>
      </c>
      <c r="J207" s="32" t="str">
        <f>IF(B206&lt;'Умови та класичний графік'!$J$13,PPMT($J$20/12,B207,$J$12,$J$11,0,0),"")</f>
        <v/>
      </c>
      <c r="K207" s="32" t="str">
        <f>IF(B206&lt;'Умови та класичний графік'!$J$13,IPMT($J$20/12,B207,$J$12,$J$11,0,0),"")</f>
        <v/>
      </c>
      <c r="L207" s="30" t="str">
        <f>IF(B206&lt;'Умови та класичний графік'!$J$13,-(SUM(M207:V207)),"")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графік'!$J$13,XIRR($G$34:G207,$C$34:C207,0),"")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04" t="str">
        <f>IF(B207&lt;'Умови та класичний графік'!$J$13,-(SUM(J208:L208)),"")</f>
        <v/>
      </c>
      <c r="H208" s="104"/>
      <c r="I208" s="32" t="str">
        <f>IF(B207&lt;'Умови та класичний графік'!$J$13,I207+J208,"")</f>
        <v/>
      </c>
      <c r="J208" s="32" t="str">
        <f>IF(B207&lt;'Умови та класичний графік'!$J$13,PPMT($J$20/12,B208,$J$12,$J$11,0,0),"")</f>
        <v/>
      </c>
      <c r="K208" s="32" t="str">
        <f>IF(B207&lt;'Умови та класичний графік'!$J$13,IPMT($J$20/12,B208,$J$12,$J$11,0,0),"")</f>
        <v/>
      </c>
      <c r="L208" s="30" t="str">
        <f>IF(B207&lt;'Умови та класичний графік'!$J$13,-(SUM(M208:V208)),"")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графік'!$J$13,XIRR($G$34:G208,$C$34:C208,0),"")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04" t="str">
        <f>IF(B208&lt;'Умови та класичний графік'!$J$13,-(SUM(J209:L209)),"")</f>
        <v/>
      </c>
      <c r="H209" s="104"/>
      <c r="I209" s="32" t="str">
        <f>IF(B208&lt;'Умови та класичний графік'!$J$13,I208+J209,"")</f>
        <v/>
      </c>
      <c r="J209" s="32" t="str">
        <f>IF(B208&lt;'Умови та класичний графік'!$J$13,PPMT($J$20/12,B209,$J$12,$J$11,0,0),"")</f>
        <v/>
      </c>
      <c r="K209" s="32" t="str">
        <f>IF(B208&lt;'Умови та класичний графік'!$J$13,IPMT($J$20/12,B209,$J$12,$J$11,0,0),"")</f>
        <v/>
      </c>
      <c r="L209" s="30" t="str">
        <f>IF(B208&lt;'Умови та класичний графік'!$J$13,-(SUM(M209:V209)),"")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графік'!$J$13,XIRR($G$34:G209,$C$34:C209,0),"")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04" t="str">
        <f>IF(B209&lt;'Умови та класичний графік'!$J$13,-(SUM(J210:L210)),"")</f>
        <v/>
      </c>
      <c r="H210" s="104"/>
      <c r="I210" s="32" t="str">
        <f>IF(B209&lt;'Умови та класичний графік'!$J$13,I209+J210,"")</f>
        <v/>
      </c>
      <c r="J210" s="32" t="str">
        <f>IF(B209&lt;'Умови та класичний графік'!$J$13,PPMT($J$20/12,B210,$J$12,$J$11,0,0),"")</f>
        <v/>
      </c>
      <c r="K210" s="32" t="str">
        <f>IF(B209&lt;'Умови та класичний графік'!$J$13,IPMT($J$20/12,B210,$J$12,$J$11,0,0),"")</f>
        <v/>
      </c>
      <c r="L210" s="30" t="str">
        <f>IF(B209&lt;'Умови та класичний графік'!$J$13,-(SUM(M210:V210)),"")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графік'!$J$13,XIRR($G$34:G210,$C$34:C210,0),"")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04" t="str">
        <f>IF(B210&lt;'Умови та класичний графік'!$J$13,-(SUM(J211:L211)),"")</f>
        <v/>
      </c>
      <c r="H211" s="104"/>
      <c r="I211" s="32" t="str">
        <f>IF(B210&lt;'Умови та класичний графік'!$J$13,I210+J211,"")</f>
        <v/>
      </c>
      <c r="J211" s="32" t="str">
        <f>IF(B210&lt;'Умови та класичний графік'!$J$13,PPMT($J$20/12,B211,$J$12,$J$11,0,0),"")</f>
        <v/>
      </c>
      <c r="K211" s="32" t="str">
        <f>IF(B210&lt;'Умови та класичний графік'!$J$13,IPMT($J$20/12,B211,$J$12,$J$11,0,0),"")</f>
        <v/>
      </c>
      <c r="L211" s="30" t="str">
        <f>IF(B210&lt;'Умови та класичний графік'!$J$13,-(SUM(M211:V211)),"")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графік'!$J$13,XIRR($G$34:G211,$C$34:C211,0),"")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04" t="str">
        <f>IF(B211&lt;'Умови та класичний графік'!$J$13,-(SUM(J212:L212)),"")</f>
        <v/>
      </c>
      <c r="H212" s="104"/>
      <c r="I212" s="32" t="str">
        <f>IF(B211&lt;'Умови та класичний графік'!$J$13,I211+J212,"")</f>
        <v/>
      </c>
      <c r="J212" s="32" t="str">
        <f>IF(B211&lt;'Умови та класичний графік'!$J$13,PPMT($J$20/12,B212,$J$12,$J$11,0,0),"")</f>
        <v/>
      </c>
      <c r="K212" s="32" t="str">
        <f>IF(B211&lt;'Умови та класичний графік'!$J$13,IPMT($J$20/12,B212,$J$12,$J$11,0,0),"")</f>
        <v/>
      </c>
      <c r="L212" s="30" t="str">
        <f>IF(B211&lt;'Умови та класичний графік'!$J$13,-(SUM(M212:V212)),"")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графік'!$J$13,XIRR($G$34:G212,$C$34:C212,0),"")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04" t="str">
        <f>IF(B212&lt;'Умови та класичний графік'!$J$13,-(SUM(J213:L213)),"")</f>
        <v/>
      </c>
      <c r="H213" s="104"/>
      <c r="I213" s="32" t="str">
        <f>IF(B212&lt;'Умови та класичний графік'!$J$13,I212+J213,"")</f>
        <v/>
      </c>
      <c r="J213" s="32" t="str">
        <f>IF(B212&lt;'Умови та класичний графік'!$J$13,PPMT($J$20/12,B213,$J$12,$J$11,0,0),"")</f>
        <v/>
      </c>
      <c r="K213" s="32" t="str">
        <f>IF(B212&lt;'Умови та класичний графік'!$J$13,IPMT($J$20/12,B213,$J$12,$J$11,0,0),"")</f>
        <v/>
      </c>
      <c r="L213" s="30" t="str">
        <f>IF(B212&lt;'Умови та класичний графік'!$J$13,-(SUM(M213:V213)),"")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графік'!$J$13,XIRR($G$34:G213,$C$34:C213,0),"")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04" t="str">
        <f>IF(B213&lt;'Умови та класичний графік'!$J$13,-(SUM(J214:L214)),"")</f>
        <v/>
      </c>
      <c r="H214" s="104"/>
      <c r="I214" s="32" t="str">
        <f>IF(B213&lt;'Умови та класичний графік'!$J$13,I213+J214,"")</f>
        <v/>
      </c>
      <c r="J214" s="32" t="str">
        <f>IF(B213&lt;'Умови та класичний графік'!$J$13,PPMT($J$20/12,B214,$J$12,$J$11,0,0),"")</f>
        <v/>
      </c>
      <c r="K214" s="32" t="str">
        <f>IF(B213&lt;'Умови та класичний графік'!$J$13,IPMT($J$20/12,B214,$J$12,$J$11,0,0),"")</f>
        <v/>
      </c>
      <c r="L214" s="30" t="str">
        <f>IF(B213&lt;'Умови та класичний графік'!$J$13,-(SUM(M214:V214)),"")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графік'!$J$13,XIRR($G$34:G214,$C$34:C214,0),"")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04" t="str">
        <f>IF(B214&lt;'Умови та класичний графік'!$J$13,-(SUM(J215:L215)),"")</f>
        <v/>
      </c>
      <c r="H215" s="104"/>
      <c r="I215" s="32" t="str">
        <f>IF(B214&lt;'Умови та класичний графік'!$J$13,I214+J215,"")</f>
        <v/>
      </c>
      <c r="J215" s="32" t="str">
        <f>IF(B214&lt;'Умови та класичний графік'!$J$13,PPMT($J$20/12,B215,$J$12,$J$11,0,0),"")</f>
        <v/>
      </c>
      <c r="K215" s="32" t="str">
        <f>IF(B214&lt;'Умови та класичний графік'!$J$13,IPMT($J$20/12,B215,$J$12,$J$11,0,0),"")</f>
        <v/>
      </c>
      <c r="L215" s="30" t="str">
        <f>IF(B214&lt;'Умови та класичний графік'!$J$13,-(SUM(M215:V215)),"")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графік'!$J$13,XIRR($G$34:G215,$C$34:C215,0),"")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04" t="str">
        <f>IF(B215&lt;'Умови та класичний графік'!$J$13,-(SUM(J216:L216)),"")</f>
        <v/>
      </c>
      <c r="H216" s="104"/>
      <c r="I216" s="32" t="str">
        <f>IF(B215&lt;'Умови та класичний графік'!$J$13,I215+J216,"")</f>
        <v/>
      </c>
      <c r="J216" s="32" t="str">
        <f>IF(B215&lt;'Умови та класичний графік'!$J$13,PPMT($J$20/12,B216,$J$12,$J$11,0,0),"")</f>
        <v/>
      </c>
      <c r="K216" s="32" t="str">
        <f>IF(B215&lt;'Умови та класичний графік'!$J$13,IPMT($J$20/12,B216,$J$12,$J$11,0,0),"")</f>
        <v/>
      </c>
      <c r="L216" s="30" t="str">
        <f>IF(B215&lt;'Умови та класичний графік'!$J$13,-(SUM(M216:V216)),"")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графік'!$J$13,XIRR($G$34:G216,$C$34:C216,0),"")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04" t="str">
        <f>IF(B216&lt;'Умови та класичний графік'!$J$13,-(SUM(J217:L217)),"")</f>
        <v/>
      </c>
      <c r="H217" s="104"/>
      <c r="I217" s="32" t="str">
        <f>IF(B216&lt;'Умови та класичний графік'!$J$13,I216+J217,"")</f>
        <v/>
      </c>
      <c r="J217" s="32" t="str">
        <f>IF(B216&lt;'Умови та класичний графік'!$J$13,PPMT($J$20/12,B217,$J$12,$J$11,0,0),"")</f>
        <v/>
      </c>
      <c r="K217" s="32" t="str">
        <f>IF(B216&lt;'Умови та класичний графік'!$J$13,IPMT($J$20/12,B217,$J$12,$J$11,0,0),"")</f>
        <v/>
      </c>
      <c r="L217" s="30" t="str">
        <f>IF(B216&lt;'Умови та класичний графік'!$J$13,-(SUM(M217:V217)),"")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графік'!$J$13,XIRR($G$34:G217,$C$34:C217,0),"")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04" t="str">
        <f>IF(B217&lt;'Умови та класичний графік'!$J$13,-(SUM(J218:L218)),"")</f>
        <v/>
      </c>
      <c r="H218" s="104"/>
      <c r="I218" s="32" t="str">
        <f>IF(B217&lt;'Умови та класичний графік'!$J$13,I217+J218,"")</f>
        <v/>
      </c>
      <c r="J218" s="32" t="str">
        <f>IF(B217&lt;'Умови та класичний графік'!$J$13,PPMT($J$20/12,B218,$J$12,$J$11,0,0),"")</f>
        <v/>
      </c>
      <c r="K218" s="32" t="str">
        <f>IF(B217&lt;'Умови та класичний графік'!$J$13,IPMT($J$20/12,B218,$J$12,$J$11,0,0),"")</f>
        <v/>
      </c>
      <c r="L218" s="30" t="str">
        <f>IF(B217&lt;'Умови та класичний графік'!$J$13,-(SUM(M218:V218)),"")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графік'!$J$13,XIRR($G$34:G218,$C$34:C218,0),"")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04" t="str">
        <f>IF(B218&lt;'Умови та класичний графік'!$J$13,-(SUM(J219:L219)),"")</f>
        <v/>
      </c>
      <c r="H219" s="104"/>
      <c r="I219" s="32" t="str">
        <f>IF(B218&lt;'Умови та класичний графік'!$J$13,I218+J219,"")</f>
        <v/>
      </c>
      <c r="J219" s="32" t="str">
        <f>IF(B218&lt;'Умови та класичний графік'!$J$13,PPMT($J$20/12,B219,$J$12,$J$11,0,0),"")</f>
        <v/>
      </c>
      <c r="K219" s="32" t="str">
        <f>IF(B218&lt;'Умови та класичний графік'!$J$13,IPMT($J$20/12,B219,$J$12,$J$11,0,0),"")</f>
        <v/>
      </c>
      <c r="L219" s="30" t="str">
        <f>IF(B218&lt;'Умови та класичний графік'!$J$13,-(SUM(M219:V219)),"")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графік'!$J$13,XIRR($G$34:G219,$C$34:C219,0),"")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04" t="str">
        <f>IF(B219&lt;'Умови та класичний графік'!$J$13,-(SUM(J220:L220)),"")</f>
        <v/>
      </c>
      <c r="H220" s="104"/>
      <c r="I220" s="32" t="str">
        <f>IF(B219&lt;'Умови та класичний графік'!$J$13,I219+J220,"")</f>
        <v/>
      </c>
      <c r="J220" s="32" t="str">
        <f>IF(B219&lt;'Умови та класичний графік'!$J$13,PPMT($J$20/12,B220,$J$12,$J$11,0,0),"")</f>
        <v/>
      </c>
      <c r="K220" s="32" t="str">
        <f>IF(B219&lt;'Умови та класичний графік'!$J$13,IPMT($J$20/12,B220,$J$12,$J$11,0,0),"")</f>
        <v/>
      </c>
      <c r="L220" s="30" t="str">
        <f>IF(B219&lt;'Умови та класичний графік'!$J$13,-(SUM(M220:V220)),"")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графік'!$J$13,XIRR($G$34:G220,$C$34:C220,0),"")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04" t="str">
        <f>IF(B220&lt;'Умови та класичний графік'!$J$13,-(SUM(J221:L221)),"")</f>
        <v/>
      </c>
      <c r="H221" s="104"/>
      <c r="I221" s="32" t="str">
        <f>IF(B220&lt;'Умови та класичний графік'!$J$13,I220+J221,"")</f>
        <v/>
      </c>
      <c r="J221" s="32" t="str">
        <f>IF(B220&lt;'Умови та класичний графік'!$J$13,PPMT($J$20/12,B221,$J$12,$J$11,0,0),"")</f>
        <v/>
      </c>
      <c r="K221" s="32" t="str">
        <f>IF(B220&lt;'Умови та класичний графік'!$J$13,IPMT($J$20/12,B221,$J$12,$J$11,0,0),"")</f>
        <v/>
      </c>
      <c r="L221" s="30" t="str">
        <f>IF(B220&lt;'Умови та класичний графік'!$J$13,-(SUM(M221:V221)),"")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графік'!$J$13,XIRR($G$34:G221,$C$34:C221,0),"")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04" t="str">
        <f>IF(B221&lt;'Умови та класичний графік'!$J$13,-(SUM(J222:L222)),"")</f>
        <v/>
      </c>
      <c r="H222" s="104"/>
      <c r="I222" s="32" t="str">
        <f>IF(B221&lt;'Умови та класичний графік'!$J$13,I221+J222,"")</f>
        <v/>
      </c>
      <c r="J222" s="32" t="str">
        <f>IF(B221&lt;'Умови та класичний графік'!$J$13,PPMT($J$20/12,B222,$J$12,$J$11,0,0),"")</f>
        <v/>
      </c>
      <c r="K222" s="32" t="str">
        <f>IF(B221&lt;'Умови та класичний графік'!$J$13,IPMT($J$20/12,B222,$J$12,$J$11,0,0),"")</f>
        <v/>
      </c>
      <c r="L222" s="30" t="str">
        <f>IF(B221&lt;'Умови та класичний графік'!$J$13,-(SUM(M222:V222)),"")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графік'!$J$13,XIRR($G$34:G222,$C$34:C222,0),"")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04" t="str">
        <f>IF(B222&lt;'Умови та класичний графік'!$J$13,-(SUM(J223:L223)),"")</f>
        <v/>
      </c>
      <c r="H223" s="104"/>
      <c r="I223" s="32" t="str">
        <f>IF(B222&lt;'Умови та класичний графік'!$J$13,I222+J223,"")</f>
        <v/>
      </c>
      <c r="J223" s="32" t="str">
        <f>IF(B222&lt;'Умови та класичний графік'!$J$13,PPMT($J$20/12,B223,$J$12,$J$11,0,0),"")</f>
        <v/>
      </c>
      <c r="K223" s="32" t="str">
        <f>IF(B222&lt;'Умови та класичний графік'!$J$13,IPMT($J$20/12,B223,$J$12,$J$11,0,0),"")</f>
        <v/>
      </c>
      <c r="L223" s="30" t="str">
        <f>IF(B222&lt;'Умови та класичний графік'!$J$13,-(SUM(M223:V223)),"")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графік'!$J$13,XIRR($G$34:G223,$C$34:C223,0),"")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04" t="str">
        <f>IF(B223&lt;'Умови та класичний графік'!$J$13,-(SUM(J224:L224)),"")</f>
        <v/>
      </c>
      <c r="H224" s="104"/>
      <c r="I224" s="32" t="str">
        <f>IF(B223&lt;'Умови та класичний графік'!$J$13,I223+J224,"")</f>
        <v/>
      </c>
      <c r="J224" s="32" t="str">
        <f>IF(B223&lt;'Умови та класичний графік'!$J$13,PPMT($J$20/12,B224,$J$12,$J$11,0,0),"")</f>
        <v/>
      </c>
      <c r="K224" s="32" t="str">
        <f>IF(B223&lt;'Умови та класичний графік'!$J$13,IPMT($J$20/12,B224,$J$12,$J$11,0,0),"")</f>
        <v/>
      </c>
      <c r="L224" s="30" t="str">
        <f>IF(B223&lt;'Умови та класичний графік'!$J$13,-(SUM(M224:V224)),"")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графік'!$J$13,XIRR($G$34:G224,$C$34:C224,0),"")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04" t="str">
        <f>IF(B224&lt;'Умови та класичний графік'!$J$13,-(SUM(J225:L225)),"")</f>
        <v/>
      </c>
      <c r="H225" s="104"/>
      <c r="I225" s="32" t="str">
        <f>IF(B224&lt;'Умови та класичний графік'!$J$13,I224+J225,"")</f>
        <v/>
      </c>
      <c r="J225" s="32" t="str">
        <f>IF(B224&lt;'Умови та класичний графік'!$J$13,PPMT($J$20/12,B225,$J$12,$J$11,0,0),"")</f>
        <v/>
      </c>
      <c r="K225" s="32" t="str">
        <f>IF(B224&lt;'Умови та класичний графік'!$J$13,IPMT($J$20/12,B225,$J$12,$J$11,0,0),"")</f>
        <v/>
      </c>
      <c r="L225" s="30" t="str">
        <f>IF(B224&lt;'Умови та класичний графік'!$J$13,-(SUM(M225:V225)),"")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графік'!$J$13,XIRR($G$34:G225,$C$34:C225,0),"")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04" t="str">
        <f>IF(B225&lt;'Умови та класичний графік'!$J$13,-(SUM(J226:L226)),"")</f>
        <v/>
      </c>
      <c r="H226" s="104"/>
      <c r="I226" s="32" t="str">
        <f>IF(B225&lt;'Умови та класичний графік'!$J$13,I225+J226,"")</f>
        <v/>
      </c>
      <c r="J226" s="32" t="str">
        <f>IF(B225&lt;'Умови та класичний графік'!$J$13,PPMT($J$20/12,B226,$J$12,$J$11,0,0),"")</f>
        <v/>
      </c>
      <c r="K226" s="32" t="str">
        <f>IF(B225&lt;'Умови та класичний графік'!$J$13,IPMT($J$20/12,B226,$J$12,$J$11,0,0),"")</f>
        <v/>
      </c>
      <c r="L226" s="30" t="str">
        <f>IF(B225&lt;'Умови та класичний графік'!$J$13,-(SUM(M226:V226)),"")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графік'!$J$13,XIRR($G$34:G226,$C$34:C226,0),"")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04" t="str">
        <f>IF(B226&lt;'Умови та класичний графік'!$J$13,-(SUM(J227:L227)),"")</f>
        <v/>
      </c>
      <c r="H227" s="104"/>
      <c r="I227" s="32" t="str">
        <f>IF(B226&lt;'Умови та класичний графік'!$J$13,I226+J227,"")</f>
        <v/>
      </c>
      <c r="J227" s="32" t="str">
        <f>IF(B226&lt;'Умови та класичний графік'!$J$13,PPMT($J$20/12,B227,$J$12,$J$11,0,0),"")</f>
        <v/>
      </c>
      <c r="K227" s="32" t="str">
        <f>IF(B226&lt;'Умови та класичний графік'!$J$13,IPMT($J$20/12,B227,$J$12,$J$11,0,0),"")</f>
        <v/>
      </c>
      <c r="L227" s="30" t="str">
        <f>IF(B226&lt;'Умови та класичний графік'!$J$13,-(SUM(M227:V227)),"")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графік'!$J$13,XIRR($G$34:G227,$C$34:C227,0),"")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04" t="str">
        <f>IF(B227&lt;'Умови та класичний графік'!$J$13,-(SUM(J228:L228)),"")</f>
        <v/>
      </c>
      <c r="H228" s="104"/>
      <c r="I228" s="32" t="str">
        <f>IF(B227&lt;'Умови та класичний графік'!$J$13,I227+J228,"")</f>
        <v/>
      </c>
      <c r="J228" s="32" t="str">
        <f>IF(B227&lt;'Умови та класичний графік'!$J$13,PPMT($J$20/12,B228,$J$12,$J$11,0,0),"")</f>
        <v/>
      </c>
      <c r="K228" s="32" t="str">
        <f>IF(B227&lt;'Умови та класичний графік'!$J$13,IPMT($J$20/12,B228,$J$12,$J$11,0,0),"")</f>
        <v/>
      </c>
      <c r="L228" s="30" t="str">
        <f>IF(B227&lt;'Умови та класичний графік'!$J$13,-(SUM(M228:V228)),"")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графік'!$J$13,XIRR($G$34:G228,$C$34:C228,0),"")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04" t="str">
        <f>IF(B228&lt;'Умови та класичний графік'!$J$13,-(SUM(J229:L229)),"")</f>
        <v/>
      </c>
      <c r="H229" s="104"/>
      <c r="I229" s="32" t="str">
        <f>IF(B228&lt;'Умови та класичний графік'!$J$13,I228+J229,"")</f>
        <v/>
      </c>
      <c r="J229" s="32" t="str">
        <f>IF(B228&lt;'Умови та класичний графік'!$J$13,PPMT($J$20/12,B229,$J$12,$J$11,0,0),"")</f>
        <v/>
      </c>
      <c r="K229" s="32" t="str">
        <f>IF(B228&lt;'Умови та класичний графік'!$J$13,IPMT($J$20/12,B229,$J$12,$J$11,0,0),"")</f>
        <v/>
      </c>
      <c r="L229" s="30" t="str">
        <f>IF(B228&lt;'Умови та класичний графік'!$J$13,-(SUM(M229:V229)),"")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графік'!$J$13,XIRR($G$34:G229,$C$34:C229,0),"")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04" t="str">
        <f>IF(B229&lt;'Умови та класичний графік'!$J$13,-(SUM(J230:L230)),"")</f>
        <v/>
      </c>
      <c r="H230" s="104"/>
      <c r="I230" s="32" t="str">
        <f>IF(B229&lt;'Умови та класичний графік'!$J$13,I229+J230,"")</f>
        <v/>
      </c>
      <c r="J230" s="32" t="str">
        <f>IF(B229&lt;'Умови та класичний графік'!$J$13,PPMT($J$20/12,B230,$J$12,$J$11,0,0),"")</f>
        <v/>
      </c>
      <c r="K230" s="32" t="str">
        <f>IF(B229&lt;'Умови та класичний графік'!$J$13,IPMT($J$20/12,B230,$J$12,$J$11,0,0),"")</f>
        <v/>
      </c>
      <c r="L230" s="30" t="str">
        <f>IF(B229&lt;'Умови та класичний графік'!$J$13,-(SUM(M230:V230)),"")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графік'!$J$13,XIRR($G$34:G230,$C$34:C230,0),"")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04" t="str">
        <f>IF(B230&lt;'Умови та класичний графік'!$J$13,-(SUM(J231:L231)),"")</f>
        <v/>
      </c>
      <c r="H231" s="104"/>
      <c r="I231" s="32" t="str">
        <f>IF(B230&lt;'Умови та класичний графік'!$J$13,I230+J231,"")</f>
        <v/>
      </c>
      <c r="J231" s="32" t="str">
        <f>IF(B230&lt;'Умови та класичний графік'!$J$13,PPMT($J$20/12,B231,$J$12,$J$11,0,0),"")</f>
        <v/>
      </c>
      <c r="K231" s="32" t="str">
        <f>IF(B230&lt;'Умови та класичний графік'!$J$13,IPMT($J$20/12,B231,$J$12,$J$11,0,0),"")</f>
        <v/>
      </c>
      <c r="L231" s="30" t="str">
        <f>IF(B230&lt;'Умови та класичний графік'!$J$13,-(SUM(M231:V231)),"")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графік'!$J$13,XIRR($G$34:G231,$C$34:C231,0),"")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04" t="str">
        <f>IF(B231&lt;'Умови та класичний графік'!$J$13,-(SUM(J232:L232)),"")</f>
        <v/>
      </c>
      <c r="H232" s="104"/>
      <c r="I232" s="32" t="str">
        <f>IF(B231&lt;'Умови та класичний графік'!$J$13,I231+J232,"")</f>
        <v/>
      </c>
      <c r="J232" s="32" t="str">
        <f>IF(B231&lt;'Умови та класичний графік'!$J$13,PPMT($J$20/12,B232,$J$12,$J$11,0,0),"")</f>
        <v/>
      </c>
      <c r="K232" s="32" t="str">
        <f>IF(B231&lt;'Умови та класичний графік'!$J$13,IPMT($J$20/12,B232,$J$12,$J$11,0,0),"")</f>
        <v/>
      </c>
      <c r="L232" s="30" t="str">
        <f>IF(B231&lt;'Умови та класичний графік'!$J$13,-(SUM(M232:V232)),"")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графік'!$J$13,XIRR($G$34:G232,$C$34:C232,0),"")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04" t="str">
        <f>IF(B232&lt;'Умови та класичний графік'!$J$13,-(SUM(J233:L233)),"")</f>
        <v/>
      </c>
      <c r="H233" s="104"/>
      <c r="I233" s="32" t="str">
        <f>IF(B232&lt;'Умови та класичний графік'!$J$13,I232+J233,"")</f>
        <v/>
      </c>
      <c r="J233" s="32" t="str">
        <f>IF(B232&lt;'Умови та класичний графік'!$J$13,PPMT($J$20/12,B233,$J$12,$J$11,0,0),"")</f>
        <v/>
      </c>
      <c r="K233" s="32" t="str">
        <f>IF(B232&lt;'Умови та класичний графік'!$J$13,IPMT($J$20/12,B233,$J$12,$J$11,0,0),"")</f>
        <v/>
      </c>
      <c r="L233" s="30" t="str">
        <f>IF(B232&lt;'Умови та класичний графік'!$J$13,-(SUM(M233:V233)),"")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графік'!$J$13,XIRR($G$34:G233,$C$34:C233,0),"")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04" t="str">
        <f>IF(B233&lt;'Умови та класичний графік'!$J$13,-(SUM(J234:L234)),"")</f>
        <v/>
      </c>
      <c r="H234" s="104"/>
      <c r="I234" s="32" t="str">
        <f>IF(B233&lt;'Умови та класичний графік'!$J$13,I233+J234,"")</f>
        <v/>
      </c>
      <c r="J234" s="32" t="str">
        <f>IF(B233&lt;'Умови та класичний графік'!$J$13,PPMT($J$20/12,B234,$J$12,$J$11,0,0),"")</f>
        <v/>
      </c>
      <c r="K234" s="32" t="str">
        <f>IF(B233&lt;'Умови та класичний графік'!$J$13,IPMT($J$20/12,B234,$J$12,$J$11,0,0),"")</f>
        <v/>
      </c>
      <c r="L234" s="30" t="str">
        <f>IF(B233&lt;'Умови та класичний графік'!$J$13,-(SUM(M234:V234)),"")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графік'!$J$13,XIRR($G$34:G234,$C$34:C234,0),"")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04" t="str">
        <f>IF(B234&lt;'Умови та класичний графік'!$J$13,-(SUM(J235:L235)),"")</f>
        <v/>
      </c>
      <c r="H235" s="104"/>
      <c r="I235" s="32" t="str">
        <f>IF(B234&lt;'Умови та класичний графік'!$J$13,I234+J235,"")</f>
        <v/>
      </c>
      <c r="J235" s="32" t="str">
        <f>IF(B234&lt;'Умови та класичний графік'!$J$13,PPMT($J$20/12,B235,$J$12,$J$11,0,0),"")</f>
        <v/>
      </c>
      <c r="K235" s="32" t="str">
        <f>IF(B234&lt;'Умови та класичний графік'!$J$13,IPMT($J$20/12,B235,$J$12,$J$11,0,0),"")</f>
        <v/>
      </c>
      <c r="L235" s="30" t="str">
        <f>IF(B234&lt;'Умови та класичний графік'!$J$13,-(SUM(M235:V235)),"")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графік'!$J$13,XIRR($G$34:G235,$C$34:C235,0),"")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04" t="str">
        <f>IF(B235&lt;'Умови та класичний графік'!$J$13,-(SUM(J236:L236)),"")</f>
        <v/>
      </c>
      <c r="H236" s="104"/>
      <c r="I236" s="32" t="str">
        <f>IF(B235&lt;'Умови та класичний графік'!$J$13,I235+J236,"")</f>
        <v/>
      </c>
      <c r="J236" s="32" t="str">
        <f>IF(B235&lt;'Умови та класичний графік'!$J$13,PPMT($J$20/12,B236,$J$12,$J$11,0,0),"")</f>
        <v/>
      </c>
      <c r="K236" s="32" t="str">
        <f>IF(B235&lt;'Умови та класичний графік'!$J$13,IPMT($J$20/12,B236,$J$12,$J$11,0,0),"")</f>
        <v/>
      </c>
      <c r="L236" s="30" t="str">
        <f>IF(B235&lt;'Умови та класичний графік'!$J$13,-(SUM(M236:V236)),"")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графік'!$J$13,XIRR($G$34:G236,$C$34:C236,0),"")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04" t="str">
        <f>IF(B236&lt;'Умови та класичний графік'!$J$13,-(SUM(J237:L237)),"")</f>
        <v/>
      </c>
      <c r="H237" s="104"/>
      <c r="I237" s="32" t="str">
        <f>IF(B236&lt;'Умови та класичний графік'!$J$13,I236+J237,"")</f>
        <v/>
      </c>
      <c r="J237" s="32" t="str">
        <f>IF(B236&lt;'Умови та класичний графік'!$J$13,PPMT($J$20/12,B237,$J$12,$J$11,0,0),"")</f>
        <v/>
      </c>
      <c r="K237" s="32" t="str">
        <f>IF(B236&lt;'Умови та класичний графік'!$J$13,IPMT($J$20/12,B237,$J$12,$J$11,0,0),"")</f>
        <v/>
      </c>
      <c r="L237" s="30" t="str">
        <f>IF(B236&lt;'Умови та класичний графік'!$J$13,-(SUM(M237:V237)),"")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графік'!$J$13,XIRR($G$34:G237,$C$34:C237,0),"")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04" t="str">
        <f>IF(B237&lt;'Умови та класичний графік'!$J$13,-(SUM(J238:L238)),"")</f>
        <v/>
      </c>
      <c r="H238" s="104"/>
      <c r="I238" s="32" t="str">
        <f>IF(B237&lt;'Умови та класичний графік'!$J$13,I237+J238,"")</f>
        <v/>
      </c>
      <c r="J238" s="32" t="str">
        <f>IF(B237&lt;'Умови та класичний графік'!$J$13,PPMT($J$20/12,B238,$J$12,$J$11,0,0),"")</f>
        <v/>
      </c>
      <c r="K238" s="32" t="str">
        <f>IF(B237&lt;'Умови та класичний графік'!$J$13,IPMT($J$20/12,B238,$J$12,$J$11,0,0),"")</f>
        <v/>
      </c>
      <c r="L238" s="30" t="str">
        <f>IF(B237&lt;'Умови та класичний графік'!$J$13,-(SUM(M238:V238)),"")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графік'!$J$13,XIRR($G$34:G238,$C$34:C238,0),"")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04" t="str">
        <f>IF(B238&lt;'Умови та класичний графік'!$J$13,-(SUM(J239:L239)),"")</f>
        <v/>
      </c>
      <c r="H239" s="104"/>
      <c r="I239" s="32" t="str">
        <f>IF(B238&lt;'Умови та класичний графік'!$J$13,I238+J239,"")</f>
        <v/>
      </c>
      <c r="J239" s="32" t="str">
        <f>IF(B238&lt;'Умови та класичний графік'!$J$13,PPMT($J$20/12,B239,$J$12,$J$11,0,0),"")</f>
        <v/>
      </c>
      <c r="K239" s="32" t="str">
        <f>IF(B238&lt;'Умови та класичний графік'!$J$13,IPMT($J$20/12,B239,$J$12,$J$11,0,0),"")</f>
        <v/>
      </c>
      <c r="L239" s="30" t="str">
        <f>IF(B238&lt;'Умови та класичний графік'!$J$13,-(SUM(M239:V239)),"")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графік'!$J$13,XIRR($G$34:G239,$C$34:C239,0),"")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04" t="str">
        <f>IF(B239&lt;'Умови та класичний графік'!$J$13,-(SUM(J240:L240)),"")</f>
        <v/>
      </c>
      <c r="H240" s="104"/>
      <c r="I240" s="32" t="str">
        <f>IF(B239&lt;'Умови та класичний графік'!$J$13,I239+J240,"")</f>
        <v/>
      </c>
      <c r="J240" s="32" t="str">
        <f>IF(B239&lt;'Умови та класичний графік'!$J$13,PPMT($J$20/12,B240,$J$12,$J$11,0,0),"")</f>
        <v/>
      </c>
      <c r="K240" s="32" t="str">
        <f>IF(B239&lt;'Умови та класичний графік'!$J$13,IPMT($J$20/12,B240,$J$12,$J$11,0,0),"")</f>
        <v/>
      </c>
      <c r="L240" s="30" t="str">
        <f>IF(B239&lt;'Умови та класичний графік'!$J$13,-(SUM(M240:V240)),"")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графік'!$J$13,XIRR($G$34:G240,$C$34:C240,0),"")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04" t="str">
        <f>IF(B240&lt;'Умови та класичний графік'!$J$13,-(SUM(J241:L241)),"")</f>
        <v/>
      </c>
      <c r="H241" s="104"/>
      <c r="I241" s="32" t="str">
        <f>IF(B240&lt;'Умови та класичний графік'!$J$13,I240+J241,"")</f>
        <v/>
      </c>
      <c r="J241" s="32" t="str">
        <f>IF(B240&lt;'Умови та класичний графік'!$J$13,PPMT($J$20/12,B241,$J$12,$J$11,0,0),"")</f>
        <v/>
      </c>
      <c r="K241" s="32" t="str">
        <f>IF(B240&lt;'Умови та класичний графік'!$J$13,IPMT($J$20/12,B241,$J$12,$J$11,0,0),"")</f>
        <v/>
      </c>
      <c r="L241" s="30" t="str">
        <f>IF(B240&lt;'Умови та класичний графік'!$J$13,-(SUM(M241:V241)),"")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графік'!$J$13,XIRR($G$34:G241,$C$34:C241,0),"")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04" t="str">
        <f>IF(B241&lt;'Умови та класичний графік'!$J$13,-(SUM(J242:L242)),"")</f>
        <v/>
      </c>
      <c r="H242" s="104"/>
      <c r="I242" s="32" t="str">
        <f>IF(B241&lt;'Умови та класичний графік'!$J$13,I241+J242,"")</f>
        <v/>
      </c>
      <c r="J242" s="32" t="str">
        <f>IF(B241&lt;'Умови та класичний графік'!$J$13,PPMT($J$20/12,B242,$J$12,$J$11,0,0),"")</f>
        <v/>
      </c>
      <c r="K242" s="32" t="str">
        <f>IF(B241&lt;'Умови та класичний графік'!$J$13,IPMT($J$20/12,B242,$J$12,$J$11,0,0),"")</f>
        <v/>
      </c>
      <c r="L242" s="30" t="str">
        <f>IF(B241&lt;'Умови та класичний графік'!$J$13,-(SUM(M242:V242)),"")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графік'!$J$13,XIRR($G$34:G242,$C$34:C242,0),"")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04" t="str">
        <f>IF(B242&lt;'Умови та класичний графік'!$J$13,-(SUM(J243:L243)),"")</f>
        <v/>
      </c>
      <c r="H243" s="104"/>
      <c r="I243" s="32" t="str">
        <f>IF(B242&lt;'Умови та класичний графік'!$J$13,I242+J243,"")</f>
        <v/>
      </c>
      <c r="J243" s="32" t="str">
        <f>IF(B242&lt;'Умови та класичний графік'!$J$13,PPMT($J$20/12,B243,$J$12,$J$11,0,0),"")</f>
        <v/>
      </c>
      <c r="K243" s="32" t="str">
        <f>IF(B242&lt;'Умови та класичний графік'!$J$13,IPMT($J$20/12,B243,$J$12,$J$11,0,0),"")</f>
        <v/>
      </c>
      <c r="L243" s="30" t="str">
        <f>IF(B242&lt;'Умови та класичний графік'!$J$13,-(SUM(M243:V243)),"")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графік'!$J$13,XIRR($G$34:G243,$C$34:C243,0),"")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04" t="str">
        <f>IF(B243&lt;'Умови та класичний графік'!$J$13,-(SUM(J244:L244)),"")</f>
        <v/>
      </c>
      <c r="H244" s="104"/>
      <c r="I244" s="32" t="str">
        <f>IF(B243&lt;'Умови та класичний графік'!$J$13,I243+J244,"")</f>
        <v/>
      </c>
      <c r="J244" s="32" t="str">
        <f>IF(B243&lt;'Умови та класичний графік'!$J$13,PPMT($J$20/12,B244,$J$12,$J$11,0,0),"")</f>
        <v/>
      </c>
      <c r="K244" s="32" t="str">
        <f>IF(B243&lt;'Умови та класичний графік'!$J$13,IPMT($J$20/12,B244,$J$12,$J$11,0,0),"")</f>
        <v/>
      </c>
      <c r="L244" s="30" t="str">
        <f>IF(B243&lt;'Умови та класичний графік'!$J$13,-(SUM(M244:V244)),"")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графік'!$J$13,XIRR($G$34:G244,$C$34:C244,0),"")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04" t="str">
        <f>IF(B244&lt;'Умови та класичний графік'!$J$13,-(SUM(J245:L245)),"")</f>
        <v/>
      </c>
      <c r="H245" s="104"/>
      <c r="I245" s="32" t="str">
        <f>IF(B244&lt;'Умови та класичний графік'!$J$13,I244+J245,"")</f>
        <v/>
      </c>
      <c r="J245" s="32" t="str">
        <f>IF(B244&lt;'Умови та класичний графік'!$J$13,PPMT($J$20/12,B245,$J$12,$J$11,0,0),"")</f>
        <v/>
      </c>
      <c r="K245" s="32" t="str">
        <f>IF(B244&lt;'Умови та класичний графік'!$J$13,IPMT($J$20/12,B245,$J$12,$J$11,0,0),"")</f>
        <v/>
      </c>
      <c r="L245" s="30" t="str">
        <f>IF(B244&lt;'Умови та класичний графік'!$J$13,-(SUM(M245:V245)),"")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графік'!$J$13,XIRR($G$34:G245,$C$34:C245,0),"")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04" t="str">
        <f>IF(B245&lt;'Умови та класичний графік'!$J$13,-(SUM(J246:L246)),"")</f>
        <v/>
      </c>
      <c r="H246" s="104"/>
      <c r="I246" s="32" t="str">
        <f>IF(B245&lt;'Умови та класичний графік'!$J$13,I245+J246,"")</f>
        <v/>
      </c>
      <c r="J246" s="32" t="str">
        <f>IF(B245&lt;'Умови та класичний графік'!$J$13,PPMT($J$20/12,B246,$J$12,$J$11,0,0),"")</f>
        <v/>
      </c>
      <c r="K246" s="32" t="str">
        <f>IF(B245&lt;'Умови та класичний графік'!$J$13,IPMT($J$20/12,B246,$J$12,$J$11,0,0),"")</f>
        <v/>
      </c>
      <c r="L246" s="30" t="str">
        <f>IF(B245&lt;'Умови та класичний графік'!$J$13,-(SUM(M246:V246)),"")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графік'!$J$13,XIRR($G$34:G246,$C$34:C246,0),"")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04" t="str">
        <f>IF(B246&lt;'Умови та класичний графік'!$J$13,-(SUM(J247:L247)),"")</f>
        <v/>
      </c>
      <c r="H247" s="104"/>
      <c r="I247" s="32" t="str">
        <f>IF(B246&lt;'Умови та класичний графік'!$J$13,I246+J247,"")</f>
        <v/>
      </c>
      <c r="J247" s="32" t="str">
        <f>IF(B246&lt;'Умови та класичний графік'!$J$13,PPMT($J$20/12,B247,$J$12,$J$11,0,0),"")</f>
        <v/>
      </c>
      <c r="K247" s="32" t="str">
        <f>IF(B246&lt;'Умови та класичний графік'!$J$13,IPMT($J$20/12,B247,$J$12,$J$11,0,0),"")</f>
        <v/>
      </c>
      <c r="L247" s="30" t="str">
        <f>IF(B246&lt;'Умови та класичний графік'!$J$13,-(SUM(M247:V247)),"")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графік'!$J$13,XIRR($G$34:G247,$C$34:C247,0),"")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04" t="str">
        <f>IF(B247&lt;'Умови та класичний графік'!$J$13,-(SUM(J248:L248)),"")</f>
        <v/>
      </c>
      <c r="H248" s="104"/>
      <c r="I248" s="32" t="str">
        <f>IF(B247&lt;'Умови та класичний графік'!$J$13,I247+J248,"")</f>
        <v/>
      </c>
      <c r="J248" s="32" t="str">
        <f>IF(B247&lt;'Умови та класичний графік'!$J$13,PPMT($J$20/12,B248,$J$12,$J$11,0,0),"")</f>
        <v/>
      </c>
      <c r="K248" s="32" t="str">
        <f>IF(B247&lt;'Умови та класичний графік'!$J$13,IPMT($J$20/12,B248,$J$12,$J$11,0,0),"")</f>
        <v/>
      </c>
      <c r="L248" s="30" t="str">
        <f>IF(B247&lt;'Умови та класичний графік'!$J$13,-(SUM(M248:V248)),"")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графік'!$J$13,XIRR($G$34:G248,$C$34:C248,0),"")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04" t="str">
        <f>IF(B248&lt;'Умови та класичний графік'!$J$13,-(SUM(J249:L249)),"")</f>
        <v/>
      </c>
      <c r="H249" s="104"/>
      <c r="I249" s="32" t="str">
        <f>IF(B248&lt;'Умови та класичний графік'!$J$13,I248+J249,"")</f>
        <v/>
      </c>
      <c r="J249" s="32" t="str">
        <f>IF(B248&lt;'Умови та класичний графік'!$J$13,PPMT($J$20/12,B249,$J$12,$J$11,0,0),"")</f>
        <v/>
      </c>
      <c r="K249" s="32" t="str">
        <f>IF(B248&lt;'Умови та класичний графік'!$J$13,IPMT($J$20/12,B249,$J$12,$J$11,0,0),"")</f>
        <v/>
      </c>
      <c r="L249" s="30" t="str">
        <f>IF(B248&lt;'Умови та класичний графік'!$J$13,-(SUM(M249:V249)),"")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графік'!$J$13,XIRR($G$34:G249,$C$34:C249,0),"")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04" t="str">
        <f>IF(B249&lt;'Умови та класичний графік'!$J$13,-(SUM(J250:L250)),"")</f>
        <v/>
      </c>
      <c r="H250" s="104"/>
      <c r="I250" s="32" t="str">
        <f>IF(B249&lt;'Умови та класичний графік'!$J$13,I249+J250,"")</f>
        <v/>
      </c>
      <c r="J250" s="32" t="str">
        <f>IF(B249&lt;'Умови та класичний графік'!$J$13,PPMT($J$20/12,B250,$J$12,$J$11,0,0),"")</f>
        <v/>
      </c>
      <c r="K250" s="32" t="str">
        <f>IF(B249&lt;'Умови та класичний графік'!$J$13,IPMT($J$20/12,B250,$J$12,$J$11,0,0),"")</f>
        <v/>
      </c>
      <c r="L250" s="30" t="str">
        <f>IF(B249&lt;'Умови та класичний графік'!$J$13,-(SUM(M250:V250)),"")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графік'!$J$13,XIRR($G$34:G250,$C$34:C250,0),"")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04" t="str">
        <f>IF(B250&lt;'Умови та класичний графік'!$J$13,-(SUM(J251:L251)),"")</f>
        <v/>
      </c>
      <c r="H251" s="104"/>
      <c r="I251" s="32" t="str">
        <f>IF(B250&lt;'Умови та класичний графік'!$J$13,I250+J251,"")</f>
        <v/>
      </c>
      <c r="J251" s="32" t="str">
        <f>IF(B250&lt;'Умови та класичний графік'!$J$13,PPMT($J$20/12,B251,$J$12,$J$11,0,0),"")</f>
        <v/>
      </c>
      <c r="K251" s="32" t="str">
        <f>IF(B250&lt;'Умови та класичний графік'!$J$13,IPMT($J$20/12,B251,$J$12,$J$11,0,0),"")</f>
        <v/>
      </c>
      <c r="L251" s="30" t="str">
        <f>IF(B250&lt;'Умови та класичний графік'!$J$13,-(SUM(M251:V251)),"")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графік'!$J$13,XIRR($G$34:G251,$C$34:C251,0),"")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04" t="str">
        <f>IF(B251&lt;'Умови та класичний графік'!$J$13,-(SUM(J252:L252)),"")</f>
        <v/>
      </c>
      <c r="H252" s="104"/>
      <c r="I252" s="32" t="str">
        <f>IF(B251&lt;'Умови та класичний графік'!$J$13,I251+J252,"")</f>
        <v/>
      </c>
      <c r="J252" s="32" t="str">
        <f>IF(B251&lt;'Умови та класичний графік'!$J$13,PPMT($J$20/12,B252,$J$12,$J$11,0,0),"")</f>
        <v/>
      </c>
      <c r="K252" s="32" t="str">
        <f>IF(B251&lt;'Умови та класичний графік'!$J$13,IPMT($J$20/12,B252,$J$12,$J$11,0,0),"")</f>
        <v/>
      </c>
      <c r="L252" s="30" t="str">
        <f>IF(B251&lt;'Умови та класичний графік'!$J$13,-(SUM(M252:V252)),"")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графік'!$J$13,XIRR($G$34:G252,$C$34:C252,0),"")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04" t="str">
        <f>IF(B252&lt;'Умови та класичний графік'!$J$13,-(SUM(J253:L253)),"")</f>
        <v/>
      </c>
      <c r="H253" s="104"/>
      <c r="I253" s="32" t="str">
        <f>IF(B252&lt;'Умови та класичний графік'!$J$13,I252+J253,"")</f>
        <v/>
      </c>
      <c r="J253" s="32" t="str">
        <f>IF(B252&lt;'Умови та класичний графік'!$J$13,PPMT($J$20/12,B253,$J$12,$J$11,0,0),"")</f>
        <v/>
      </c>
      <c r="K253" s="32" t="str">
        <f>IF(B252&lt;'Умови та класичний графік'!$J$13,IPMT($J$20/12,B253,$J$12,$J$11,0,0),"")</f>
        <v/>
      </c>
      <c r="L253" s="30" t="str">
        <f>IF(B252&lt;'Умови та класичний графік'!$J$13,-(SUM(M253:V253)),"")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графік'!$J$13,XIRR($G$34:G253,$C$34:C253,0),"")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04" t="str">
        <f>IF(B253&lt;'Умови та класичний графік'!$J$13,-(SUM(J254:L254)),"")</f>
        <v/>
      </c>
      <c r="H254" s="104"/>
      <c r="I254" s="32" t="str">
        <f>IF(B253&lt;'Умови та класичний графік'!$J$13,I253+J254,"")</f>
        <v/>
      </c>
      <c r="J254" s="32" t="str">
        <f>IF(B253&lt;'Умови та класичний графік'!$J$13,PPMT($J$20/12,B254,$J$12,$J$11,0,0),"")</f>
        <v/>
      </c>
      <c r="K254" s="32" t="str">
        <f>IF(B253&lt;'Умови та класичний графік'!$J$13,IPMT($J$20/12,B254,$J$12,$J$11,0,0),"")</f>
        <v/>
      </c>
      <c r="L254" s="30" t="str">
        <f>IF(B253&lt;'Умови та класичний графік'!$J$13,-(SUM(M254:V254)),"")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графік'!$J$13,XIRR($G$34:G254,$C$34:C254,0),"")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04" t="str">
        <f>IF(B254&lt;'Умови та класичний графік'!$J$13,-(SUM(J255:L255)),"")</f>
        <v/>
      </c>
      <c r="H255" s="104"/>
      <c r="I255" s="32" t="str">
        <f>IF(B254&lt;'Умови та класичний графік'!$J$13,I254+J255,"")</f>
        <v/>
      </c>
      <c r="J255" s="32" t="str">
        <f>IF(B254&lt;'Умови та класичний графік'!$J$13,PPMT($J$20/12,B255,$J$12,$J$11,0,0),"")</f>
        <v/>
      </c>
      <c r="K255" s="32" t="str">
        <f>IF(B254&lt;'Умови та класичний графік'!$J$13,IPMT($J$20/12,B255,$J$12,$J$11,0,0),"")</f>
        <v/>
      </c>
      <c r="L255" s="30" t="str">
        <f>IF(B254&lt;'Умови та класичний графік'!$J$13,-(SUM(M255:V255)),"")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графік'!$J$13,XIRR($G$34:G255,$C$34:C255,0),"")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04" t="str">
        <f>IF(B255&lt;'Умови та класичний графік'!$J$13,-(SUM(J256:L256)),"")</f>
        <v/>
      </c>
      <c r="H256" s="104"/>
      <c r="I256" s="32" t="str">
        <f>IF(B255&lt;'Умови та класичний графік'!$J$13,I255+J256,"")</f>
        <v/>
      </c>
      <c r="J256" s="32" t="str">
        <f>IF(B255&lt;'Умови та класичний графік'!$J$13,PPMT($J$20/12,B256,$J$12,$J$11,0,0),"")</f>
        <v/>
      </c>
      <c r="K256" s="32" t="str">
        <f>IF(B255&lt;'Умови та класичний графік'!$J$13,IPMT($J$20/12,B256,$J$12,$J$11,0,0),"")</f>
        <v/>
      </c>
      <c r="L256" s="30" t="str">
        <f>IF(B255&lt;'Умови та класичний графік'!$J$13,-(SUM(M256:V256)),"")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графік'!$J$13,XIRR($G$34:G256,$C$34:C256,0),"")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04" t="str">
        <f>IF(B256&lt;'Умови та класичний графік'!$J$13,-(SUM(J257:L257)),"")</f>
        <v/>
      </c>
      <c r="H257" s="104"/>
      <c r="I257" s="32" t="str">
        <f>IF(B256&lt;'Умови та класичний графік'!$J$13,I256+J257,"")</f>
        <v/>
      </c>
      <c r="J257" s="32" t="str">
        <f>IF(B256&lt;'Умови та класичний графік'!$J$13,PPMT($J$20/12,B257,$J$12,$J$11,0,0),"")</f>
        <v/>
      </c>
      <c r="K257" s="32" t="str">
        <f>IF(B256&lt;'Умови та класичний графік'!$J$13,IPMT($J$20/12,B257,$J$12,$J$11,0,0),"")</f>
        <v/>
      </c>
      <c r="L257" s="30" t="str">
        <f>IF(B256&lt;'Умови та класичний графік'!$J$13,-(SUM(M257:V257)),"")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графік'!$J$13,XIRR($G$34:G257,$C$34:C257,0),"")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04" t="str">
        <f>IF(B257&lt;'Умови та класичний графік'!$J$13,-(SUM(J258:L258)),"")</f>
        <v/>
      </c>
      <c r="H258" s="104"/>
      <c r="I258" s="32" t="str">
        <f>IF(B257&lt;'Умови та класичний графік'!$J$13,I257+J258,"")</f>
        <v/>
      </c>
      <c r="J258" s="32" t="str">
        <f>IF(B257&lt;'Умови та класичний графік'!$J$13,PPMT($J$20/12,B258,$J$12,$J$11,0,0),"")</f>
        <v/>
      </c>
      <c r="K258" s="32" t="str">
        <f>IF(B257&lt;'Умови та класичний графік'!$J$13,IPMT($J$20/12,B258,$J$12,$J$11,0,0),"")</f>
        <v/>
      </c>
      <c r="L258" s="30" t="str">
        <f>IF(B257&lt;'Умови та класичний графік'!$J$13,-(SUM(M258:V258)),"")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графік'!$J$13,XIRR($G$34:G258,$C$34:C258,0),"")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04" t="str">
        <f>IF(B258&lt;'Умови та класичний графік'!$J$13,-(SUM(J259:L259)),"")</f>
        <v/>
      </c>
      <c r="H259" s="104"/>
      <c r="I259" s="32" t="str">
        <f>IF(B258&lt;'Умови та класичний графік'!$J$13,I258+J259,"")</f>
        <v/>
      </c>
      <c r="J259" s="32" t="str">
        <f>IF(B258&lt;'Умови та класичний графік'!$J$13,PPMT($J$20/12,B259,$J$12,$J$11,0,0),"")</f>
        <v/>
      </c>
      <c r="K259" s="32" t="str">
        <f>IF(B258&lt;'Умови та класичний графік'!$J$13,IPMT($J$20/12,B259,$J$12,$J$11,0,0),"")</f>
        <v/>
      </c>
      <c r="L259" s="30" t="str">
        <f>IF(B258&lt;'Умови та класичний графік'!$J$13,-(SUM(M259:V259)),"")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04" t="str">
        <f>IF(B259&lt;'Умови та класичний графік'!$J$13,-(SUM(J260:L260)),"")</f>
        <v/>
      </c>
      <c r="H260" s="104"/>
      <c r="I260" s="32" t="str">
        <f>IF(B259&lt;'Умови та класичний графік'!$J$13,I259+J260,"")</f>
        <v/>
      </c>
      <c r="J260" s="32" t="str">
        <f>IF(B259&lt;'Умови та класичний графік'!$J$13,PPMT($J$20/12,B260,$J$12,$J$11,0,0),"")</f>
        <v/>
      </c>
      <c r="K260" s="32" t="str">
        <f>IF(B259&lt;'Умови та класичний графік'!$J$13,IPMT($J$20/12,B260,$J$12,$J$11,0,0),"")</f>
        <v/>
      </c>
      <c r="L260" s="30" t="str">
        <f>IF(B259&lt;'Умови та класичний графік'!$J$13,-(SUM(M260:V260)),"")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графік'!$J$13,XIRR($G$34:G260,$C$34:C260,0),"")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04" t="str">
        <f>IF(B260&lt;'Умови та класичний графік'!$J$13,-(SUM(J261:L261)),"")</f>
        <v/>
      </c>
      <c r="H261" s="104"/>
      <c r="I261" s="32" t="str">
        <f>IF(B260&lt;'Умови та класичний графік'!$J$13,I260+J261,"")</f>
        <v/>
      </c>
      <c r="J261" s="32" t="str">
        <f>IF(B260&lt;'Умови та класичний графік'!$J$13,PPMT($J$20/12,B261,$J$12,$J$11,0,0),"")</f>
        <v/>
      </c>
      <c r="K261" s="32" t="str">
        <f>IF(B260&lt;'Умови та класичний графік'!$J$13,IPMT($J$20/12,B261,$J$12,$J$11,0,0),"")</f>
        <v/>
      </c>
      <c r="L261" s="30" t="str">
        <f>IF(B260&lt;'Умови та класичний графік'!$J$13,-(SUM(M261:V261)),"")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графік'!$J$13,XIRR($G$34:G261,$C$34:C261,0),"")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04" t="str">
        <f>IF(B261&lt;'Умови та класичний графік'!$J$13,-(SUM(J262:L262)),"")</f>
        <v/>
      </c>
      <c r="H262" s="104"/>
      <c r="I262" s="32" t="str">
        <f>IF(B261&lt;'Умови та класичний графік'!$J$13,I261+J262,"")</f>
        <v/>
      </c>
      <c r="J262" s="32" t="str">
        <f>IF(B261&lt;'Умови та класичний графік'!$J$13,PPMT($J$20/12,B262,$J$12,$J$11,0,0),"")</f>
        <v/>
      </c>
      <c r="K262" s="32" t="str">
        <f>IF(B261&lt;'Умови та класичний графік'!$J$13,IPMT($J$20/12,B262,$J$12,$J$11,0,0),"")</f>
        <v/>
      </c>
      <c r="L262" s="30" t="str">
        <f>IF(B261&lt;'Умови та класичний графік'!$J$13,-(SUM(M262:V262)),"")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графік'!$J$13,XIRR($G$34:G262,$C$34:C262,0),"")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04" t="str">
        <f>IF(B262&lt;'Умови та класичний графік'!$J$13,-(SUM(J263:L263)),"")</f>
        <v/>
      </c>
      <c r="H263" s="104"/>
      <c r="I263" s="32" t="str">
        <f>IF(B262&lt;'Умови та класичний графік'!$J$13,I262+J263,"")</f>
        <v/>
      </c>
      <c r="J263" s="32" t="str">
        <f>IF(B262&lt;'Умови та класичний графік'!$J$13,PPMT($J$20/12,B263,$J$12,$J$11,0,0),"")</f>
        <v/>
      </c>
      <c r="K263" s="32" t="str">
        <f>IF(B262&lt;'Умови та класичний графік'!$J$13,IPMT($J$20/12,B263,$J$12,$J$11,0,0),"")</f>
        <v/>
      </c>
      <c r="L263" s="30" t="str">
        <f>IF(B262&lt;'Умови та класичний графік'!$J$13,-(SUM(M263:V263)),"")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графік'!$J$13,XIRR($G$34:G263,$C$34:C263,0),"")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04" t="str">
        <f>IF(B263&lt;'Умови та класичний графік'!$J$13,-(SUM(J264:L264)),"")</f>
        <v/>
      </c>
      <c r="H264" s="104"/>
      <c r="I264" s="32" t="str">
        <f>IF(B263&lt;'Умови та класичний графік'!$J$13,I263+J264,"")</f>
        <v/>
      </c>
      <c r="J264" s="32" t="str">
        <f>IF(B263&lt;'Умови та класичний графік'!$J$13,PPMT($J$20/12,B264,$J$12,$J$11,0,0),"")</f>
        <v/>
      </c>
      <c r="K264" s="32" t="str">
        <f>IF(B263&lt;'Умови та класичний графік'!$J$13,IPMT($J$20/12,B264,$J$12,$J$11,0,0),"")</f>
        <v/>
      </c>
      <c r="L264" s="30" t="str">
        <f>IF(B263&lt;'Умови та класичний графік'!$J$13,-(SUM(M264:V264)),"")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графік'!$J$13,XIRR($G$34:G264,$C$34:C264,0),"")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04" t="str">
        <f>IF(B264&lt;'Умови та класичний графік'!$J$13,-(SUM(J265:L265)),"")</f>
        <v/>
      </c>
      <c r="H265" s="104"/>
      <c r="I265" s="32" t="str">
        <f>IF(B264&lt;'Умови та класичний графік'!$J$13,I264+J265,"")</f>
        <v/>
      </c>
      <c r="J265" s="32" t="str">
        <f>IF(B264&lt;'Умови та класичний графік'!$J$13,PPMT($J$20/12,B265,$J$12,$J$11,0,0),"")</f>
        <v/>
      </c>
      <c r="K265" s="32" t="str">
        <f>IF(B264&lt;'Умови та класичний графік'!$J$13,IPMT($J$20/12,B265,$J$12,$J$11,0,0),"")</f>
        <v/>
      </c>
      <c r="L265" s="30" t="str">
        <f>IF(B264&lt;'Умови та класичний графік'!$J$13,-(SUM(M265:V265)),"")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графік'!$J$13,XIRR($G$34:G265,$C$34:C265,0),"")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04" t="str">
        <f>IF(B265&lt;'Умови та класичний графік'!$J$13,-(SUM(J266:L266)),"")</f>
        <v/>
      </c>
      <c r="H266" s="104"/>
      <c r="I266" s="32" t="str">
        <f>IF(B265&lt;'Умови та класичний графік'!$J$13,I265+J266,"")</f>
        <v/>
      </c>
      <c r="J266" s="32" t="str">
        <f>IF(B265&lt;'Умови та класичний графік'!$J$13,PPMT($J$20/12,B266,$J$12,$J$11,0,0),"")</f>
        <v/>
      </c>
      <c r="K266" s="32" t="str">
        <f>IF(B265&lt;'Умови та класичний графік'!$J$13,IPMT($J$20/12,B266,$J$12,$J$11,0,0),"")</f>
        <v/>
      </c>
      <c r="L266" s="30" t="str">
        <f>IF(B265&lt;'Умови та класичний графік'!$J$13,-(SUM(M266:V266)),"")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графік'!$J$13,XIRR($G$34:G266,$C$34:C266,0),"")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04" t="str">
        <f>IF(B266&lt;'Умови та класичний графік'!$J$13,-(SUM(J267:L267)),"")</f>
        <v/>
      </c>
      <c r="H267" s="104"/>
      <c r="I267" s="32" t="str">
        <f>IF(B266&lt;'Умови та класичний графік'!$J$13,I266+J267,"")</f>
        <v/>
      </c>
      <c r="J267" s="32" t="str">
        <f>IF(B266&lt;'Умови та класичний графік'!$J$13,PPMT($J$20/12,B267,$J$12,$J$11,0,0),"")</f>
        <v/>
      </c>
      <c r="K267" s="32" t="str">
        <f>IF(B266&lt;'Умови та класичний графік'!$J$13,IPMT($J$20/12,B267,$J$12,$J$11,0,0),"")</f>
        <v/>
      </c>
      <c r="L267" s="30" t="str">
        <f>IF(B266&lt;'Умови та класичний графік'!$J$13,-(SUM(M267:V267)),"")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графік'!$J$13,XIRR($G$34:G267,$C$34:C267,0),"")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04" t="str">
        <f>IF(B267&lt;'Умови та класичний графік'!$J$13,-(SUM(J268:L268)),"")</f>
        <v/>
      </c>
      <c r="H268" s="104"/>
      <c r="I268" s="32" t="str">
        <f>IF(B267&lt;'Умови та класичний графік'!$J$13,I267+J268,"")</f>
        <v/>
      </c>
      <c r="J268" s="32" t="str">
        <f>IF(B267&lt;'Умови та класичний графік'!$J$13,PPMT($J$20/12,B268,$J$12,$J$11,0,0),"")</f>
        <v/>
      </c>
      <c r="K268" s="32" t="str">
        <f>IF(B267&lt;'Умови та класичний графік'!$J$13,IPMT($J$20/12,B268,$J$12,$J$11,0,0),"")</f>
        <v/>
      </c>
      <c r="L268" s="30" t="str">
        <f>IF(B267&lt;'Умови та класичний графік'!$J$13,-(SUM(M268:V268)),"")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графік'!$J$13,XIRR($G$34:G268,$C$34:C268,0),"")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04" t="str">
        <f>IF(B268&lt;'Умови та класичний графік'!$J$13,-(SUM(J269:L269)),"")</f>
        <v/>
      </c>
      <c r="H269" s="104"/>
      <c r="I269" s="32" t="str">
        <f>IF(B268&lt;'Умови та класичний графік'!$J$13,I268+J269,"")</f>
        <v/>
      </c>
      <c r="J269" s="32" t="str">
        <f>IF(B268&lt;'Умови та класичний графік'!$J$13,PPMT($J$20/12,B269,$J$12,$J$11,0,0),"")</f>
        <v/>
      </c>
      <c r="K269" s="32" t="str">
        <f>IF(B268&lt;'Умови та класичний графік'!$J$13,IPMT($J$20/12,B269,$J$12,$J$11,0,0),"")</f>
        <v/>
      </c>
      <c r="L269" s="30" t="str">
        <f>IF(B268&lt;'Умови та класичний графік'!$J$13,-(SUM(M269:V269)),"")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графік'!$J$13,XIRR($G$34:G269,$C$34:C269,0),"")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04" t="str">
        <f>IF(B269&lt;'Умови та класичний графік'!$J$13,-(SUM(J270:L270)),"")</f>
        <v/>
      </c>
      <c r="H270" s="104"/>
      <c r="I270" s="32" t="str">
        <f>IF(B269&lt;'Умови та класичний графік'!$J$13,I269+J270,"")</f>
        <v/>
      </c>
      <c r="J270" s="32" t="str">
        <f>IF(B269&lt;'Умови та класичний графік'!$J$13,PPMT($J$20/12,B270,$J$12,$J$11,0,0),"")</f>
        <v/>
      </c>
      <c r="K270" s="32" t="str">
        <f>IF(B269&lt;'Умови та класичний графік'!$J$13,IPMT($J$20/12,B270,$J$12,$J$11,0,0),"")</f>
        <v/>
      </c>
      <c r="L270" s="30" t="str">
        <f>IF(B269&lt;'Умови та класичний графік'!$J$13,-(SUM(M270:V270)),"")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графік'!$J$13,XIRR($G$34:G270,$C$34:C270,0),"")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04" t="str">
        <f>IF(B270&lt;'Умови та класичний графік'!$J$13,-(SUM(J271:L271)),"")</f>
        <v/>
      </c>
      <c r="H271" s="104"/>
      <c r="I271" s="32" t="str">
        <f>IF(B270&lt;'Умови та класичний графік'!$J$13,I270+J271,"")</f>
        <v/>
      </c>
      <c r="J271" s="32" t="str">
        <f>IF(B270&lt;'Умови та класичний графік'!$J$13,PPMT($J$20/12,B271,$J$12,$J$11,0,0),"")</f>
        <v/>
      </c>
      <c r="K271" s="32" t="str">
        <f>IF(B270&lt;'Умови та класичний графік'!$J$13,IPMT($J$20/12,B271,$J$12,$J$11,0,0),"")</f>
        <v/>
      </c>
      <c r="L271" s="30" t="str">
        <f>IF(B270&lt;'Умови та класичний графік'!$J$13,-(SUM(M271:V271)),"")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04" t="str">
        <f>IF(B271&lt;'Умови та класичний графік'!$J$13,-(SUM(J272:L272)),"")</f>
        <v/>
      </c>
      <c r="H272" s="104"/>
      <c r="I272" s="32" t="str">
        <f>IF(B271&lt;'Умови та класичний графік'!$J$13,I271+J272,"")</f>
        <v/>
      </c>
      <c r="J272" s="32" t="str">
        <f>IF(B271&lt;'Умови та класичний графік'!$J$13,PPMT($J$20/12,B272,$J$12,$J$11,0,0),"")</f>
        <v/>
      </c>
      <c r="K272" s="32" t="str">
        <f>IF(B271&lt;'Умови та класичний графік'!$J$13,IPMT($J$20/12,B272,$J$12,$J$11,0,0),"")</f>
        <v/>
      </c>
      <c r="L272" s="30" t="str">
        <f>IF(B271&lt;'Умови та класичний графік'!$J$13,-(SUM(M272:V272)),"")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графік'!$J$13,XIRR($G$34:G272,$C$34:C272,0),"")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04" t="str">
        <f>IF(B272&lt;'Умови та класичний графік'!$J$13,-(SUM(J273:L273)),"")</f>
        <v/>
      </c>
      <c r="H273" s="104"/>
      <c r="I273" s="32" t="str">
        <f>IF(B272&lt;'Умови та класичний графік'!$J$13,I272+J273,"")</f>
        <v/>
      </c>
      <c r="J273" s="32" t="str">
        <f>IF(B272&lt;'Умови та класичний графік'!$J$13,PPMT($J$20/12,B273,$J$12,$J$11,0,0),"")</f>
        <v/>
      </c>
      <c r="K273" s="32" t="str">
        <f>IF(B272&lt;'Умови та класичний графік'!$J$13,IPMT($J$20/12,B273,$J$12,$J$11,0,0),"")</f>
        <v/>
      </c>
      <c r="L273" s="30" t="str">
        <f>IF(B272&lt;'Умови та класичний графік'!$J$13,-(SUM(M273:V273)),"")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графік'!$J$13,XIRR($G$34:G273,$C$34:C273,0),"")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04" t="str">
        <f>IF(B273&lt;'Умови та класичний графік'!$J$13,-(SUM(J274:L274)),"")</f>
        <v/>
      </c>
      <c r="H274" s="104"/>
      <c r="I274" s="32" t="str">
        <f>IF(B273&lt;'Умови та класичний графік'!$J$13,I273+J274,"")</f>
        <v/>
      </c>
      <c r="J274" s="32" t="str">
        <f>IF(B273&lt;'Умови та класичний графік'!$J$13,PPMT($J$20/12,B274,$J$12,$J$11,0,0),"")</f>
        <v/>
      </c>
      <c r="K274" s="32" t="str">
        <f>IF(B273&lt;'Умови та класичний графік'!$J$13,IPMT($J$20/12,B274,$J$12,$J$11,0,0),"")</f>
        <v/>
      </c>
      <c r="L274" s="30" t="str">
        <f>IF(B273&lt;'Умови та класичний графік'!$J$13,-(SUM(M274:V274)),"")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графік'!$J$13,XIRR($G$34:G274,$C$34:C274,0),"")</f>
        <v/>
      </c>
      <c r="X274" s="49"/>
      <c r="Y274" s="35"/>
    </row>
    <row r="275" spans="2:25" x14ac:dyDescent="0.2">
      <c r="B275" s="25"/>
      <c r="C275" s="125" t="s">
        <v>25</v>
      </c>
      <c r="D275" s="125"/>
      <c r="E275" s="125"/>
      <c r="F275" s="125"/>
      <c r="G275" s="145">
        <f>SUM(G35:H274)</f>
        <v>3251571.2522034114</v>
      </c>
      <c r="H275" s="146"/>
      <c r="I275" s="50" t="s">
        <v>24</v>
      </c>
      <c r="J275" s="50">
        <f>-(SUM(J35:J274))</f>
        <v>1349999.9999999998</v>
      </c>
      <c r="K275" s="50">
        <f>-(SUM(K34:K274))</f>
        <v>1341621.2522034072</v>
      </c>
      <c r="L275" s="51">
        <f>-(SUM(L35:L274))+L34</f>
        <v>682350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20250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6500</v>
      </c>
      <c r="T275" s="53">
        <f t="shared" si="7"/>
        <v>0</v>
      </c>
      <c r="U275" s="53">
        <f t="shared" si="7"/>
        <v>655300.00000000012</v>
      </c>
      <c r="V275" s="53">
        <f t="shared" si="7"/>
        <v>150</v>
      </c>
      <c r="W275" s="43" t="str">
        <f>IF(B274&lt;='Умови та класичний графік'!$J$13,XIRR($G$34:G274,$C$34:C274,0),"")</f>
        <v/>
      </c>
      <c r="X275" s="50">
        <f>K275+L275</f>
        <v>2023971.2522034072</v>
      </c>
      <c r="Y275" s="54">
        <f>X275+'Умови та класичний графік'!J12</f>
        <v>3373971.2522034072</v>
      </c>
    </row>
    <row r="276" spans="2:25" s="57" customFormat="1" ht="13.7" customHeight="1" x14ac:dyDescent="0.2">
      <c r="B276" s="55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9"/>
      <c r="V276" s="56"/>
    </row>
    <row r="277" spans="2:25" s="57" customFormat="1" x14ac:dyDescent="0.2">
      <c r="B277" s="55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9"/>
      <c r="V277" s="56"/>
    </row>
  </sheetData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2024-04-05T11:31:57Z</dcterms:modified>
</cp:coreProperties>
</file>